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defaultThemeVersion="124226"/>
  <mc:AlternateContent xmlns:mc="http://schemas.openxmlformats.org/markup-compatibility/2006">
    <mc:Choice Requires="x15">
      <x15ac:absPath xmlns:x15ac="http://schemas.microsoft.com/office/spreadsheetml/2010/11/ac" url="/Users/heidifuller/Desktop/O&amp;M Manual Checklists and Forms/"/>
    </mc:Choice>
  </mc:AlternateContent>
  <xr:revisionPtr revIDLastSave="37" documentId="13_ncr:1_{B18B7853-81C9-3648-8B92-D2236F76EF7C}" xr6:coauthVersionLast="47" xr6:coauthVersionMax="47" xr10:uidLastSave="{6E35731A-7046-4B5A-A9FD-CD4E12D4E4C1}"/>
  <bookViews>
    <workbookView xWindow="0" yWindow="780" windowWidth="28800" windowHeight="15840" tabRatio="825" activeTab="1" xr2:uid="{00000000-000D-0000-FFFF-FFFF00000000}"/>
  </bookViews>
  <sheets>
    <sheet name="Financial Sustainability Work" sheetId="1" r:id="rId1"/>
    <sheet name="Additional Calculations" sheetId="13" r:id="rId2"/>
    <sheet name="Lifecycle Costing Chart" sheetId="14" r:id="rId3"/>
    <sheet name="Breakeven Analysis" sheetId="2" state="hidden" r:id="rId4"/>
    <sheet name="Revenue Analysis" sheetId="8" state="hidden" r:id="rId5"/>
  </sheets>
  <externalReferences>
    <externalReference r:id="rId6"/>
    <externalReference r:id="rId7"/>
  </externalReferences>
  <definedNames>
    <definedName name="_xlnm.Print_Area" localSheetId="1">'Additional Calculations'!$A$1:$K$63</definedName>
    <definedName name="_xlnm.Print_Area" localSheetId="0">'Financial Sustainability Work'!$A$1:$J$80</definedName>
    <definedName name="TaskStatus" localSheetId="1">[1]Reference!$B$3:$B$6</definedName>
    <definedName name="TaskStatu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1" i="1" l="1"/>
  <c r="E61" i="1"/>
  <c r="F56" i="1"/>
  <c r="F55" i="1"/>
  <c r="F54" i="1"/>
  <c r="F53" i="1"/>
  <c r="F52" i="1"/>
  <c r="F51" i="1"/>
  <c r="F50" i="1"/>
  <c r="F49" i="1"/>
  <c r="F48" i="1"/>
  <c r="F47" i="1"/>
  <c r="F46" i="1"/>
  <c r="E26" i="1"/>
  <c r="H39" i="1"/>
  <c r="H33" i="1"/>
  <c r="H34" i="1"/>
  <c r="H35" i="1"/>
  <c r="H36" i="1"/>
  <c r="H37" i="1"/>
  <c r="H32" i="1"/>
  <c r="H31" i="1"/>
  <c r="F39" i="1"/>
  <c r="F33" i="1"/>
  <c r="F34" i="1"/>
  <c r="F35" i="1"/>
  <c r="F36" i="1"/>
  <c r="F37" i="1"/>
  <c r="F32" i="1"/>
  <c r="F31" i="1"/>
  <c r="E30" i="1"/>
  <c r="F30" i="1" s="1"/>
  <c r="E23" i="1"/>
  <c r="F23" i="1" s="1"/>
  <c r="F21" i="1"/>
  <c r="E38" i="1"/>
  <c r="F38" i="1" s="1"/>
  <c r="F41" i="13"/>
  <c r="F51" i="13"/>
  <c r="H28" i="1"/>
  <c r="G28" i="1"/>
  <c r="F73" i="1"/>
  <c r="E73" i="1"/>
  <c r="E74" i="1" l="1"/>
  <c r="F74" i="1" s="1"/>
  <c r="F28" i="1"/>
  <c r="E28" i="1" s="1"/>
  <c r="D13" i="1"/>
  <c r="J36" i="13"/>
  <c r="F34" i="13"/>
  <c r="F24" i="13"/>
  <c r="H29" i="1"/>
  <c r="F29" i="1" s="1"/>
  <c r="E29" i="1" s="1"/>
  <c r="G29" i="1"/>
  <c r="H12" i="13"/>
  <c r="F16" i="13"/>
  <c r="D8" i="13"/>
  <c r="F27" i="1"/>
  <c r="D4" i="13"/>
  <c r="C11" i="13" s="1"/>
  <c r="I11" i="13" s="1"/>
  <c r="F59" i="1"/>
  <c r="H26" i="1"/>
  <c r="F26" i="1"/>
  <c r="H45" i="1"/>
  <c r="F45" i="1"/>
  <c r="D60" i="1"/>
  <c r="D61" i="1"/>
  <c r="E6" i="1"/>
  <c r="D45" i="13"/>
  <c r="D30" i="1"/>
  <c r="G30" i="1"/>
  <c r="H30" i="1" s="1"/>
  <c r="F61" i="1"/>
  <c r="B61" i="1"/>
  <c r="D67" i="1"/>
  <c r="D65" i="1"/>
  <c r="D63" i="1"/>
  <c r="C54" i="13" l="1"/>
  <c r="G44" i="13"/>
  <c r="F56" i="13"/>
  <c r="I56" i="13"/>
  <c r="D60" i="13"/>
  <c r="J56" i="13"/>
  <c r="J37" i="13"/>
  <c r="I37" i="13"/>
  <c r="I36" i="13"/>
  <c r="D19" i="13"/>
  <c r="J21" i="13"/>
  <c r="I29" i="13"/>
  <c r="F11" i="13"/>
  <c r="I21" i="13"/>
  <c r="D27" i="13"/>
  <c r="J29" i="13"/>
  <c r="G48" i="13"/>
  <c r="G47" i="13"/>
  <c r="D3" i="13" l="1"/>
  <c r="I60" i="13" l="1"/>
  <c r="B54" i="13"/>
  <c r="F54" i="13"/>
  <c r="J54" i="13"/>
  <c r="G60" i="13"/>
  <c r="F60" i="13"/>
  <c r="I54" i="13"/>
  <c r="J60" i="13"/>
  <c r="I35" i="13"/>
  <c r="J35" i="13"/>
  <c r="J19" i="13"/>
  <c r="J27" i="13"/>
  <c r="C27" i="13"/>
  <c r="I19" i="13"/>
  <c r="I27" i="13"/>
  <c r="C19" i="13"/>
  <c r="B11" i="13"/>
  <c r="B38" i="13" s="1"/>
  <c r="B5" i="13"/>
  <c r="F44" i="13"/>
  <c r="D5" i="13" l="1"/>
  <c r="G46" i="13" l="1"/>
  <c r="C12" i="13"/>
  <c r="F55" i="13"/>
  <c r="F12" i="13"/>
  <c r="I12" i="13" s="1"/>
  <c r="J38" i="13"/>
  <c r="I38" i="13" s="1"/>
  <c r="I30" i="13"/>
  <c r="J30" i="13" s="1"/>
  <c r="I20" i="13"/>
  <c r="J20" i="13" s="1"/>
  <c r="I28" i="13"/>
  <c r="J28" i="13" s="1"/>
  <c r="J55" i="13" l="1"/>
  <c r="F57" i="13"/>
  <c r="I22" i="13"/>
  <c r="J22" i="13" s="1"/>
  <c r="I55" i="13" l="1"/>
  <c r="I57" i="13" s="1"/>
  <c r="J57" i="13"/>
  <c r="G49" i="1"/>
  <c r="H49" i="1" l="1"/>
  <c r="F67" i="1"/>
  <c r="G48" i="1"/>
  <c r="G50" i="1"/>
  <c r="G51" i="1"/>
  <c r="G52" i="1"/>
  <c r="G53" i="1"/>
  <c r="G54" i="1"/>
  <c r="G47" i="1"/>
  <c r="G55" i="1" l="1"/>
  <c r="H55" i="1" s="1"/>
  <c r="H50" i="1" l="1"/>
  <c r="H52" i="1"/>
  <c r="H48" i="1"/>
  <c r="H47" i="1"/>
  <c r="H53" i="1"/>
  <c r="H54" i="1"/>
  <c r="H51" i="1"/>
  <c r="D11" i="1"/>
  <c r="G33" i="1" l="1"/>
  <c r="F20" i="1" l="1"/>
  <c r="G37" i="1" l="1"/>
  <c r="O3" i="8" l="1"/>
  <c r="B3" i="8"/>
  <c r="S2" i="2"/>
  <c r="S4" i="2"/>
  <c r="S34" i="2" s="1"/>
  <c r="W9" i="8" l="1"/>
  <c r="W8" i="8"/>
  <c r="O8" i="8"/>
  <c r="B8" i="8"/>
  <c r="Y6" i="8"/>
  <c r="Y4" i="8"/>
  <c r="L5" i="8" l="1"/>
  <c r="J16" i="8"/>
  <c r="O9" i="8"/>
  <c r="O10" i="8"/>
  <c r="Y5" i="8" l="1"/>
  <c r="M33" i="8" l="1"/>
  <c r="S13" i="8" l="1"/>
  <c r="W13" i="8"/>
  <c r="J13" i="8"/>
  <c r="Q39" i="2"/>
  <c r="W30" i="2"/>
  <c r="W29" i="2"/>
  <c r="W28" i="2"/>
  <c r="W27" i="2"/>
  <c r="W26" i="2"/>
  <c r="W25" i="2"/>
  <c r="W24" i="2"/>
  <c r="W23" i="2"/>
  <c r="W22" i="2"/>
  <c r="W4" i="2"/>
  <c r="J28" i="2"/>
  <c r="J26" i="2"/>
  <c r="J24" i="2"/>
  <c r="J23" i="2"/>
  <c r="J22" i="2"/>
  <c r="J15" i="2"/>
  <c r="J14" i="2"/>
  <c r="J13" i="2"/>
  <c r="J11" i="2"/>
  <c r="J10" i="2"/>
  <c r="J9" i="2"/>
  <c r="J8" i="2"/>
  <c r="J7" i="2"/>
  <c r="L7" i="8" l="1"/>
  <c r="D25" i="8"/>
  <c r="V25" i="8"/>
  <c r="R25" i="8"/>
  <c r="G25" i="8"/>
  <c r="U25" i="8"/>
  <c r="Q25" i="8"/>
  <c r="H25" i="8"/>
  <c r="T25" i="8"/>
  <c r="E25" i="8"/>
  <c r="I25" i="8"/>
  <c r="S25" i="8"/>
  <c r="F25" i="8"/>
  <c r="C10" i="8"/>
  <c r="C9" i="8"/>
  <c r="P9" i="8" s="1"/>
  <c r="Q34" i="8"/>
  <c r="Z33" i="8"/>
  <c r="Y33" i="8"/>
  <c r="X33" i="8"/>
  <c r="W33" i="8"/>
  <c r="V33" i="8"/>
  <c r="U33" i="8"/>
  <c r="T33" i="8"/>
  <c r="S33" i="8"/>
  <c r="R33" i="8"/>
  <c r="L33" i="8"/>
  <c r="K33" i="8"/>
  <c r="J33" i="8"/>
  <c r="I33" i="8"/>
  <c r="H33" i="8"/>
  <c r="G33" i="8"/>
  <c r="F33" i="8"/>
  <c r="E33" i="8"/>
  <c r="W24" i="8"/>
  <c r="J24" i="8"/>
  <c r="W23" i="8"/>
  <c r="J23" i="8"/>
  <c r="W22" i="8"/>
  <c r="J22" i="8"/>
  <c r="W21" i="8"/>
  <c r="J21" i="8"/>
  <c r="W20" i="8"/>
  <c r="J20" i="8"/>
  <c r="W19" i="8"/>
  <c r="J19" i="8"/>
  <c r="W18" i="8"/>
  <c r="J18" i="8"/>
  <c r="W17" i="8"/>
  <c r="J17" i="8"/>
  <c r="W16" i="8"/>
  <c r="J4" i="2"/>
  <c r="O5" i="8" l="1"/>
  <c r="U34" i="2"/>
  <c r="B5" i="8"/>
  <c r="P10" i="8"/>
  <c r="Y7" i="8"/>
  <c r="V31" i="2"/>
  <c r="T31" i="2"/>
  <c r="I31" i="2"/>
  <c r="E31" i="2"/>
  <c r="S31" i="2"/>
  <c r="H31" i="2"/>
  <c r="D31" i="2"/>
  <c r="R31" i="2"/>
  <c r="G31" i="2"/>
  <c r="U31" i="2"/>
  <c r="Q31" i="2"/>
  <c r="F31" i="2"/>
  <c r="Q16" i="2"/>
  <c r="S16" i="2"/>
  <c r="G16" i="2"/>
  <c r="V16" i="2"/>
  <c r="R16" i="2"/>
  <c r="H16" i="2"/>
  <c r="U16" i="2"/>
  <c r="E16" i="2"/>
  <c r="I16" i="2"/>
  <c r="T16" i="2"/>
  <c r="F16" i="2"/>
  <c r="D16" i="2"/>
  <c r="X30" i="2"/>
  <c r="X28" i="2"/>
  <c r="X26" i="2"/>
  <c r="X22" i="2"/>
  <c r="X23" i="2"/>
  <c r="X25" i="2"/>
  <c r="X29" i="2"/>
  <c r="X27" i="2"/>
  <c r="X24" i="2"/>
  <c r="X17" i="8"/>
  <c r="X18" i="8"/>
  <c r="X19" i="8"/>
  <c r="X20" i="8"/>
  <c r="X21" i="8"/>
  <c r="X22" i="8"/>
  <c r="X24" i="8"/>
  <c r="K16" i="8"/>
  <c r="K17" i="8"/>
  <c r="K18" i="8"/>
  <c r="K19" i="8"/>
  <c r="K20" i="8"/>
  <c r="K21" i="8"/>
  <c r="K22" i="8"/>
  <c r="K23" i="8"/>
  <c r="K24" i="8"/>
  <c r="X16" i="8"/>
  <c r="X23" i="8"/>
  <c r="G28" i="13" l="1"/>
  <c r="B4" i="8"/>
  <c r="O4" i="8"/>
  <c r="U2" i="2"/>
  <c r="P5" i="8"/>
  <c r="C5" i="8"/>
  <c r="H34" i="2"/>
  <c r="U23" i="2"/>
  <c r="U24" i="2"/>
  <c r="U26" i="2"/>
  <c r="U28" i="2"/>
  <c r="U22" i="2"/>
  <c r="T23" i="2"/>
  <c r="T24" i="2"/>
  <c r="T26" i="2"/>
  <c r="T22" i="2"/>
  <c r="T28" i="2"/>
  <c r="R23" i="2"/>
  <c r="R24" i="2"/>
  <c r="R26" i="2"/>
  <c r="R22" i="2"/>
  <c r="R28" i="2"/>
  <c r="Q22" i="2"/>
  <c r="Q26" i="2"/>
  <c r="Q28" i="2"/>
  <c r="Q24" i="2"/>
  <c r="Q23" i="2"/>
  <c r="S23" i="2"/>
  <c r="S22" i="2"/>
  <c r="S24" i="2"/>
  <c r="S26" i="2"/>
  <c r="S28" i="2"/>
  <c r="V23" i="2"/>
  <c r="V24" i="2"/>
  <c r="V22" i="2"/>
  <c r="V26" i="2"/>
  <c r="V28" i="2"/>
  <c r="G32" i="1"/>
  <c r="G34" i="1"/>
  <c r="G35" i="1"/>
  <c r="G39" i="1"/>
  <c r="G31" i="1"/>
  <c r="H2" i="2" l="1"/>
  <c r="C4" i="8"/>
  <c r="P4" i="8"/>
  <c r="G36" i="1"/>
  <c r="H41" i="1" l="1"/>
  <c r="E27" i="1" l="1"/>
  <c r="G27" i="1" l="1"/>
  <c r="G38" i="1"/>
  <c r="G41" i="1" l="1"/>
  <c r="H38" i="1"/>
  <c r="H27" i="1"/>
  <c r="E59" i="1"/>
  <c r="G26" i="1"/>
  <c r="G45" i="1"/>
  <c r="E45" i="1"/>
  <c r="Z38" i="2" l="1"/>
  <c r="Y38" i="2"/>
  <c r="X38" i="2"/>
  <c r="W38" i="2"/>
  <c r="V38" i="2"/>
  <c r="U38" i="2"/>
  <c r="T38" i="2"/>
  <c r="S38" i="2"/>
  <c r="R38" i="2"/>
  <c r="F38" i="2"/>
  <c r="G38" i="2"/>
  <c r="H38" i="2"/>
  <c r="I38" i="2"/>
  <c r="J38" i="2"/>
  <c r="K38" i="2"/>
  <c r="L38" i="2"/>
  <c r="M38" i="2"/>
  <c r="E38" i="2"/>
  <c r="J30" i="2"/>
  <c r="J29" i="2"/>
  <c r="F28" i="2"/>
  <c r="J27" i="2"/>
  <c r="F26" i="2"/>
  <c r="J25" i="2"/>
  <c r="F24" i="2"/>
  <c r="D23" i="2"/>
  <c r="E22" i="2"/>
  <c r="W15" i="2"/>
  <c r="W14" i="2"/>
  <c r="W13" i="2"/>
  <c r="W12" i="2"/>
  <c r="W11" i="2"/>
  <c r="W10" i="2"/>
  <c r="W9" i="2"/>
  <c r="W8" i="2"/>
  <c r="W7" i="2"/>
  <c r="J12" i="2"/>
  <c r="D25" i="2" l="1"/>
  <c r="V25" i="2"/>
  <c r="R25" i="2"/>
  <c r="U25" i="2"/>
  <c r="Q25" i="2"/>
  <c r="T25" i="2"/>
  <c r="S25" i="2"/>
  <c r="D29" i="2"/>
  <c r="V29" i="2"/>
  <c r="R29" i="2"/>
  <c r="U29" i="2"/>
  <c r="Q29" i="2"/>
  <c r="T29" i="2"/>
  <c r="S29" i="2"/>
  <c r="F30" i="2"/>
  <c r="V30" i="2"/>
  <c r="R30" i="2"/>
  <c r="U30" i="2"/>
  <c r="Q30" i="2"/>
  <c r="T30" i="2"/>
  <c r="S30" i="2"/>
  <c r="D27" i="2"/>
  <c r="V27" i="2"/>
  <c r="R27" i="2"/>
  <c r="U27" i="2"/>
  <c r="Q27" i="2"/>
  <c r="T27" i="2"/>
  <c r="S27" i="2"/>
  <c r="K13" i="2"/>
  <c r="K9" i="2"/>
  <c r="K23" i="2"/>
  <c r="K25" i="2"/>
  <c r="K27" i="2"/>
  <c r="K29" i="2"/>
  <c r="K7" i="2"/>
  <c r="K12" i="2"/>
  <c r="K8" i="2"/>
  <c r="X8" i="2"/>
  <c r="X10" i="2"/>
  <c r="X12" i="2"/>
  <c r="X14" i="2"/>
  <c r="K15" i="2"/>
  <c r="K11" i="2"/>
  <c r="K22" i="2"/>
  <c r="K24" i="2"/>
  <c r="K26" i="2"/>
  <c r="K28" i="2"/>
  <c r="K30" i="2"/>
  <c r="K14" i="2"/>
  <c r="K10" i="2"/>
  <c r="X7" i="2"/>
  <c r="X9" i="2"/>
  <c r="X11" i="2"/>
  <c r="X13" i="2"/>
  <c r="X15" i="2"/>
  <c r="G29" i="2"/>
  <c r="G25" i="2"/>
  <c r="F29" i="2"/>
  <c r="F25" i="2"/>
  <c r="G27" i="2"/>
  <c r="G23" i="2"/>
  <c r="F27" i="2"/>
  <c r="F23" i="2"/>
  <c r="H22" i="2"/>
  <c r="E30" i="2"/>
  <c r="E28" i="2"/>
  <c r="I26" i="2"/>
  <c r="G22" i="2"/>
  <c r="H30" i="2"/>
  <c r="D30" i="2"/>
  <c r="H28" i="2"/>
  <c r="D28" i="2"/>
  <c r="H26" i="2"/>
  <c r="D26" i="2"/>
  <c r="H24" i="2"/>
  <c r="D24" i="2"/>
  <c r="D22" i="2"/>
  <c r="F22" i="2"/>
  <c r="G30" i="2"/>
  <c r="I29" i="2"/>
  <c r="E29" i="2"/>
  <c r="G28" i="2"/>
  <c r="I27" i="2"/>
  <c r="E27" i="2"/>
  <c r="G26" i="2"/>
  <c r="I25" i="2"/>
  <c r="E25" i="2"/>
  <c r="G24" i="2"/>
  <c r="I23" i="2"/>
  <c r="E23" i="2"/>
  <c r="I30" i="2"/>
  <c r="I28" i="2"/>
  <c r="E26" i="2"/>
  <c r="I24" i="2"/>
  <c r="E24" i="2"/>
  <c r="I22" i="2"/>
  <c r="H29" i="2"/>
  <c r="H27" i="2"/>
  <c r="H25" i="2"/>
  <c r="H23" i="2"/>
  <c r="G40" i="1" l="1"/>
  <c r="G42" i="1" l="1"/>
  <c r="E63" i="1" l="1"/>
  <c r="F63" i="1"/>
  <c r="E75" i="1"/>
  <c r="E69" i="1" s="1"/>
  <c r="H40" i="1"/>
  <c r="E76" i="1" l="1"/>
  <c r="H42" i="1"/>
  <c r="F76" i="1" l="1"/>
  <c r="F75" i="1"/>
  <c r="G46" i="1" l="1"/>
  <c r="E56" i="1"/>
  <c r="H46" i="1" l="1"/>
  <c r="H56" i="1" s="1"/>
  <c r="I8" i="2" s="1"/>
  <c r="G56" i="1"/>
  <c r="G14" i="2"/>
  <c r="G39" i="2"/>
  <c r="I11" i="2"/>
  <c r="F11" i="2"/>
  <c r="I10" i="2"/>
  <c r="I9" i="2"/>
  <c r="F9" i="2"/>
  <c r="H7" i="2"/>
  <c r="H10" i="2"/>
  <c r="F10" i="2"/>
  <c r="G13" i="2"/>
  <c r="F14" i="2"/>
  <c r="I15" i="2"/>
  <c r="G7" i="2"/>
  <c r="I13" i="2"/>
  <c r="F77" i="1"/>
  <c r="F78" i="1" s="1"/>
  <c r="H9" i="2" l="1"/>
  <c r="I14" i="2"/>
  <c r="E9" i="2"/>
  <c r="F13" i="2"/>
  <c r="D7" i="2"/>
  <c r="D15" i="2"/>
  <c r="H14" i="2"/>
  <c r="U14" i="2" s="1"/>
  <c r="G11" i="2"/>
  <c r="G20" i="8" s="1"/>
  <c r="T20" i="8" s="1"/>
  <c r="H39" i="2"/>
  <c r="D8" i="2"/>
  <c r="H15" i="2"/>
  <c r="H13" i="2"/>
  <c r="F12" i="2"/>
  <c r="E12" i="2"/>
  <c r="G15" i="2"/>
  <c r="E8" i="2"/>
  <c r="E17" i="8" s="1"/>
  <c r="R17" i="8" s="1"/>
  <c r="I12" i="2"/>
  <c r="G8" i="2"/>
  <c r="F8" i="2"/>
  <c r="L9" i="8"/>
  <c r="Y9" i="8" s="1"/>
  <c r="D14" i="2"/>
  <c r="G10" i="2"/>
  <c r="F39" i="2"/>
  <c r="S39" i="2" s="1"/>
  <c r="M39" i="2"/>
  <c r="M34" i="8" s="1"/>
  <c r="Z34" i="8" s="1"/>
  <c r="G12" i="2"/>
  <c r="E39" i="2"/>
  <c r="H11" i="2"/>
  <c r="I7" i="2"/>
  <c r="J39" i="2"/>
  <c r="E13" i="2"/>
  <c r="G9" i="2"/>
  <c r="G18" i="8" s="1"/>
  <c r="T18" i="8" s="1"/>
  <c r="E14" i="2"/>
  <c r="E23" i="8" s="1"/>
  <c r="R23" i="8" s="1"/>
  <c r="E7" i="2"/>
  <c r="F7" i="2"/>
  <c r="I52" i="1"/>
  <c r="I38" i="1"/>
  <c r="I29" i="1"/>
  <c r="I42" i="1"/>
  <c r="E65" i="1"/>
  <c r="F65" i="1" s="1"/>
  <c r="I37" i="1"/>
  <c r="I67" i="1" s="1"/>
  <c r="I41" i="1"/>
  <c r="I30" i="1"/>
  <c r="I35" i="1"/>
  <c r="I39" i="1"/>
  <c r="I53" i="1"/>
  <c r="I55" i="1"/>
  <c r="I27" i="1"/>
  <c r="I48" i="1"/>
  <c r="I49" i="1"/>
  <c r="I33" i="1"/>
  <c r="I54" i="1"/>
  <c r="I51" i="1"/>
  <c r="I32" i="1"/>
  <c r="I34" i="1"/>
  <c r="I47" i="1"/>
  <c r="I40" i="1"/>
  <c r="I36" i="1"/>
  <c r="I28" i="1"/>
  <c r="I46" i="1"/>
  <c r="I50" i="1"/>
  <c r="I56" i="1"/>
  <c r="I31" i="1"/>
  <c r="D10" i="2"/>
  <c r="E10" i="2"/>
  <c r="E19" i="8" s="1"/>
  <c r="R19" i="8" s="1"/>
  <c r="D13" i="2"/>
  <c r="K39" i="2"/>
  <c r="E15" i="2"/>
  <c r="D11" i="2"/>
  <c r="D9" i="2"/>
  <c r="L8" i="8"/>
  <c r="Y8" i="8" s="1"/>
  <c r="F15" i="2"/>
  <c r="F24" i="8" s="1"/>
  <c r="S24" i="8" s="1"/>
  <c r="E11" i="2"/>
  <c r="E20" i="8" s="1"/>
  <c r="R20" i="8" s="1"/>
  <c r="L39" i="2"/>
  <c r="I39" i="2"/>
  <c r="H12" i="2"/>
  <c r="H8" i="2"/>
  <c r="D12" i="2"/>
  <c r="I71" i="1"/>
  <c r="I73" i="1"/>
  <c r="E77" i="1"/>
  <c r="E70" i="1" s="1"/>
  <c r="G21" i="8"/>
  <c r="T21" i="8" s="1"/>
  <c r="T12" i="2"/>
  <c r="I34" i="8"/>
  <c r="V34" i="8" s="1"/>
  <c r="V39" i="2"/>
  <c r="E34" i="8"/>
  <c r="R34" i="8" s="1"/>
  <c r="R39" i="2"/>
  <c r="I17" i="8"/>
  <c r="V17" i="8" s="1"/>
  <c r="V8" i="2"/>
  <c r="F23" i="8"/>
  <c r="S23" i="8" s="1"/>
  <c r="S14" i="2"/>
  <c r="G24" i="8"/>
  <c r="T24" i="8" s="1"/>
  <c r="T15" i="2"/>
  <c r="I18" i="8"/>
  <c r="V18" i="8" s="1"/>
  <c r="V9" i="2"/>
  <c r="G17" i="8"/>
  <c r="T17" i="8" s="1"/>
  <c r="T8" i="2"/>
  <c r="L34" i="8"/>
  <c r="Y34" i="8" s="1"/>
  <c r="Y39" i="2"/>
  <c r="D17" i="8"/>
  <c r="Q17" i="8" s="1"/>
  <c r="Q8" i="2"/>
  <c r="H17" i="8"/>
  <c r="U17" i="8" s="1"/>
  <c r="U8" i="2"/>
  <c r="H22" i="8"/>
  <c r="U22" i="8" s="1"/>
  <c r="U13" i="2"/>
  <c r="F21" i="8"/>
  <c r="S21" i="8" s="1"/>
  <c r="S12" i="2"/>
  <c r="F19" i="8"/>
  <c r="S19" i="8" s="1"/>
  <c r="S10" i="2"/>
  <c r="I21" i="8"/>
  <c r="V21" i="8" s="1"/>
  <c r="V12" i="2"/>
  <c r="F20" i="8"/>
  <c r="S20" i="8" s="1"/>
  <c r="S11" i="2"/>
  <c r="G34" i="8"/>
  <c r="T34" i="8" s="1"/>
  <c r="T39" i="2"/>
  <c r="F17" i="8"/>
  <c r="S17" i="8" s="1"/>
  <c r="S8" i="2"/>
  <c r="G23" i="8"/>
  <c r="T23" i="8" s="1"/>
  <c r="T14" i="2"/>
  <c r="G16" i="8"/>
  <c r="T16" i="8" s="1"/>
  <c r="T7" i="2"/>
  <c r="H20" i="8"/>
  <c r="U20" i="8" s="1"/>
  <c r="U11" i="2"/>
  <c r="G22" i="8"/>
  <c r="T22" i="8" s="1"/>
  <c r="T13" i="2"/>
  <c r="I16" i="8"/>
  <c r="V16" i="8" s="1"/>
  <c r="V7" i="2"/>
  <c r="H19" i="8"/>
  <c r="U19" i="8" s="1"/>
  <c r="U10" i="2"/>
  <c r="J34" i="8"/>
  <c r="W34" i="8" s="1"/>
  <c r="W39" i="2"/>
  <c r="F18" i="8"/>
  <c r="S18" i="8" s="1"/>
  <c r="S9" i="2"/>
  <c r="E22" i="8"/>
  <c r="R22" i="8" s="1"/>
  <c r="R13" i="2"/>
  <c r="I19" i="8"/>
  <c r="V19" i="8" s="1"/>
  <c r="V10" i="2"/>
  <c r="I20" i="8"/>
  <c r="V20" i="8" s="1"/>
  <c r="V11" i="2"/>
  <c r="H18" i="8"/>
  <c r="U18" i="8" s="1"/>
  <c r="U9" i="2"/>
  <c r="E16" i="8"/>
  <c r="R16" i="8" s="1"/>
  <c r="R7" i="2"/>
  <c r="I23" i="8"/>
  <c r="V23" i="8" s="1"/>
  <c r="V14" i="2"/>
  <c r="F16" i="8"/>
  <c r="S16" i="8" s="1"/>
  <c r="S7" i="2"/>
  <c r="T11" i="2"/>
  <c r="H34" i="8"/>
  <c r="U34" i="8" s="1"/>
  <c r="U39" i="2"/>
  <c r="H21" i="8"/>
  <c r="U21" i="8" s="1"/>
  <c r="U12" i="2"/>
  <c r="H24" i="8"/>
  <c r="U24" i="8" s="1"/>
  <c r="U15" i="2"/>
  <c r="D21" i="8"/>
  <c r="Q21" i="8" s="1"/>
  <c r="Q12" i="2"/>
  <c r="I22" i="8"/>
  <c r="V22" i="8" s="1"/>
  <c r="V13" i="2"/>
  <c r="E21" i="8"/>
  <c r="R21" i="8" s="1"/>
  <c r="R12" i="2"/>
  <c r="H16" i="8"/>
  <c r="U16" i="8" s="1"/>
  <c r="U7" i="2"/>
  <c r="E18" i="8"/>
  <c r="R18" i="8" s="1"/>
  <c r="R9" i="2"/>
  <c r="I24" i="8"/>
  <c r="V24" i="8" s="1"/>
  <c r="V15" i="2"/>
  <c r="F22" i="8"/>
  <c r="S22" i="8" s="1"/>
  <c r="S13" i="2"/>
  <c r="D19" i="8"/>
  <c r="Q19" i="8" s="1"/>
  <c r="Q10" i="2"/>
  <c r="D23" i="8"/>
  <c r="Q23" i="8" s="1"/>
  <c r="Q14" i="2"/>
  <c r="D16" i="8"/>
  <c r="Q16" i="8" s="1"/>
  <c r="Q7" i="2"/>
  <c r="D22" i="8"/>
  <c r="Q22" i="8" s="1"/>
  <c r="Q13" i="2"/>
  <c r="G19" i="8"/>
  <c r="T19" i="8" s="1"/>
  <c r="T10" i="2"/>
  <c r="K34" i="8"/>
  <c r="X34" i="8" s="1"/>
  <c r="X39" i="2"/>
  <c r="D24" i="8"/>
  <c r="Q24" i="8" s="1"/>
  <c r="Q15" i="2"/>
  <c r="E24" i="8"/>
  <c r="R24" i="8" s="1"/>
  <c r="R15" i="2"/>
  <c r="H23" i="8"/>
  <c r="U23" i="8" s="1"/>
  <c r="D20" i="8"/>
  <c r="Q20" i="8" s="1"/>
  <c r="Q11" i="2"/>
  <c r="D18" i="8"/>
  <c r="Q18" i="8" s="1"/>
  <c r="Q9" i="2"/>
  <c r="I61" i="1" l="1"/>
  <c r="F34" i="8"/>
  <c r="S34" i="8" s="1"/>
  <c r="R14" i="2"/>
  <c r="Z39" i="2"/>
  <c r="R10" i="2"/>
  <c r="R8" i="2"/>
  <c r="S15" i="2"/>
  <c r="R11" i="2"/>
  <c r="T9" i="2"/>
  <c r="I65" i="1"/>
  <c r="I63" i="1"/>
  <c r="I69" i="1"/>
  <c r="E7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Jordan Deshon</author>
    <author>Mike Staub</author>
  </authors>
  <commentList>
    <comment ref="B36" authorId="0" shapeId="0" xr:uid="{577B25EC-7628-4500-A698-FBC96B383D98}">
      <text>
        <r>
          <rPr>
            <b/>
            <sz val="9"/>
            <color indexed="81"/>
            <rFont val="Tahoma"/>
            <family val="2"/>
          </rPr>
          <t>Community Visits</t>
        </r>
        <r>
          <rPr>
            <sz val="9"/>
            <color indexed="81"/>
            <rFont val="Tahoma"/>
            <family val="2"/>
          </rPr>
          <t xml:space="preserve"> involve the cost associated with the project implementer (e.g., international NGO) or a contracted maintenance company needing to return to the community for follow-up visits after project implementation. This would cover the cost of labor and vehicle travel expenses for the follow-up visits (based on distance from the country program office to the community location). The data influencing the costs of follow-up visits can be entered below. </t>
        </r>
      </text>
    </comment>
    <comment ref="B41" authorId="1" shapeId="0" xr:uid="{828CABD5-637D-494F-8FE4-D975C5FBCDA3}">
      <text>
        <r>
          <rPr>
            <sz val="9"/>
            <color indexed="81"/>
            <rFont val="Tahoma"/>
            <family val="2"/>
          </rPr>
          <t xml:space="preserve">Revenue may be generated in multiple ways:
• Container sales AND monthly fees to schools
• Monthly fees to houses AND monthly fees to businesses
• Container sales AND water bags AND/OR ice AND/OR flavored drinks
• Monthly fees to houses AND bulk container sales to delivery contractors
• Monthly fees to houses AND monthly fees to cattle herders
• Container sales AND cell phone charging
• AND many more…!
If this describes the revenue strategy in this community, estimate the primary revenue generation method on the “Financial Summary Worksheet” (usually container sales or monthly fees). 
Record here how much revenue is expected to be generated from these other sources here. This will then lower the required prices to cover costs on the “Financial Sustainability Worksheet”.
Also make note how much water the alternative revenue source will use each month. This will update the Daily Production Volume on the Financial Summary Worksheet
</t>
        </r>
      </text>
    </comment>
    <comment ref="D51" authorId="0" shapeId="0" xr:uid="{BE15B2AD-AAE6-4501-973F-0502CCA723D1}">
      <text>
        <r>
          <rPr>
            <b/>
            <sz val="9"/>
            <color indexed="81"/>
            <rFont val="Tahoma"/>
            <family val="2"/>
          </rPr>
          <t>Distribution Vehicle Cost</t>
        </r>
        <r>
          <rPr>
            <sz val="9"/>
            <color indexed="81"/>
            <rFont val="Tahoma"/>
            <family val="2"/>
          </rPr>
          <t xml:space="preserve"> are those costs associated with utilizing a vehicle to distribute water to households.</t>
        </r>
      </text>
    </comment>
  </commentList>
</comments>
</file>

<file path=xl/sharedStrings.xml><?xml version="1.0" encoding="utf-8"?>
<sst xmlns="http://schemas.openxmlformats.org/spreadsheetml/2006/main" count="385" uniqueCount="212">
  <si>
    <t>Financial Sustainability Worksheet</t>
  </si>
  <si>
    <t>General Information</t>
  </si>
  <si>
    <t>Unit</t>
  </si>
  <si>
    <t>Value</t>
  </si>
  <si>
    <t>Est. households in service area</t>
  </si>
  <si>
    <t>no. households</t>
  </si>
  <si>
    <t>Est. avg. household size (including children)</t>
  </si>
  <si>
    <t>no. people</t>
  </si>
  <si>
    <t>Est. household population with access to safe water</t>
  </si>
  <si>
    <t xml:space="preserve">Est. daily water users from outside the community </t>
  </si>
  <si>
    <r>
      <t xml:space="preserve">Additional revenue sources (institutions, e.g.) </t>
    </r>
    <r>
      <rPr>
        <i/>
        <sz val="9"/>
        <color theme="1"/>
        <rFont val="Roboto Light"/>
      </rPr>
      <t>select from dropdown list</t>
    </r>
    <r>
      <rPr>
        <sz val="9"/>
        <color theme="1"/>
        <rFont val="Roboto Light"/>
      </rPr>
      <t>:</t>
    </r>
  </si>
  <si>
    <t>Yes/No</t>
  </si>
  <si>
    <t>Local currency</t>
  </si>
  <si>
    <t>-</t>
  </si>
  <si>
    <t>UGX</t>
  </si>
  <si>
    <t>Foreign currency</t>
  </si>
  <si>
    <t>USD</t>
  </si>
  <si>
    <t>Avg. monthly household income</t>
  </si>
  <si>
    <t>Max household safe water consumption expenditure</t>
  </si>
  <si>
    <t xml:space="preserve">% </t>
  </si>
  <si>
    <t>Exchange rate</t>
  </si>
  <si>
    <t>Container size</t>
  </si>
  <si>
    <t>L</t>
  </si>
  <si>
    <t>Management committee commission</t>
  </si>
  <si>
    <t>% total sales</t>
  </si>
  <si>
    <t>System operator commission</t>
  </si>
  <si>
    <t>Tap operator commission</t>
  </si>
  <si>
    <t>Targets</t>
  </si>
  <si>
    <t>Anticipated household penetration</t>
  </si>
  <si>
    <t>% service area</t>
  </si>
  <si>
    <t>households</t>
  </si>
  <si>
    <t xml:space="preserve">Anticipated individual safe water purchased </t>
  </si>
  <si>
    <t>L/person/day</t>
  </si>
  <si>
    <t>containers/household/day</t>
  </si>
  <si>
    <t>Anticipated revenue collection efficiency</t>
  </si>
  <si>
    <t>% total revenue</t>
  </si>
  <si>
    <t>Anticipated daily production</t>
  </si>
  <si>
    <t>L/day</t>
  </si>
  <si>
    <t>containers/day</t>
  </si>
  <si>
    <t>Unit Costs</t>
  </si>
  <si>
    <t>Costs per Month</t>
  </si>
  <si>
    <t>% of total expenditure</t>
  </si>
  <si>
    <t>Operational Costs (OpEx)</t>
  </si>
  <si>
    <t>Applicable?</t>
  </si>
  <si>
    <t>Variable</t>
  </si>
  <si>
    <t>Chlorine (see Additional Calcs tab)</t>
  </si>
  <si>
    <r>
      <t>/m</t>
    </r>
    <r>
      <rPr>
        <vertAlign val="superscript"/>
        <sz val="11"/>
        <color theme="1"/>
        <rFont val="Roboto Light"/>
      </rPr>
      <t>3</t>
    </r>
    <r>
      <rPr>
        <sz val="11"/>
        <color theme="1"/>
        <rFont val="Roboto Light"/>
      </rPr>
      <t xml:space="preserve"> water</t>
    </r>
  </si>
  <si>
    <t>Fuel (for generators and/or delivery vehicles)</t>
  </si>
  <si>
    <t>Electricity (for water production)</t>
  </si>
  <si>
    <t>Total commissions</t>
  </si>
  <si>
    <t xml:space="preserve">Fixed </t>
  </si>
  <si>
    <t>Fixed Salaries (non-commission)</t>
  </si>
  <si>
    <t>/month</t>
  </si>
  <si>
    <t>Rent</t>
  </si>
  <si>
    <t>Water quality testing supplies</t>
  </si>
  <si>
    <t>Cellular airtime</t>
  </si>
  <si>
    <t>Banking fees</t>
  </si>
  <si>
    <t>Transportation</t>
  </si>
  <si>
    <t>Routine maintenance and upkeep</t>
  </si>
  <si>
    <t>Support visits (see Additional Calcs. tab)</t>
  </si>
  <si>
    <t>Other expenses</t>
  </si>
  <si>
    <t>Total Variable Costs:</t>
  </si>
  <si>
    <t>Total Fixed Costs:</t>
  </si>
  <si>
    <t>Anticipated Operational Costs (Variable + Fixed):</t>
  </si>
  <si>
    <t>Life Span 
[years]</t>
  </si>
  <si>
    <t>Capital Investment</t>
  </si>
  <si>
    <t>Replacement Costs</t>
  </si>
  <si>
    <t>Water Source (borehole, sump, intake, e.g.)</t>
  </si>
  <si>
    <t>Structures (enclosures, towers, platform, etc.)</t>
  </si>
  <si>
    <t>Electrical (wire, switches, controls, etc.)</t>
  </si>
  <si>
    <t>Power Supply (solar panels, generators, etc.)</t>
  </si>
  <si>
    <t>Pump</t>
  </si>
  <si>
    <t>Water Tanks</t>
  </si>
  <si>
    <t>Tap Stands (concrete, meters, valves, etc.)</t>
  </si>
  <si>
    <t>Water Treatment Equipment</t>
  </si>
  <si>
    <t xml:space="preserve">Piping </t>
  </si>
  <si>
    <t>Other</t>
  </si>
  <si>
    <t>Anticipated Replacement Costs:</t>
  </si>
  <si>
    <t>Financial Summary</t>
  </si>
  <si>
    <t>Expense Type</t>
  </si>
  <si>
    <t>% of Expenses</t>
  </si>
  <si>
    <t>Method of fee collection (select from dropdown menu)</t>
  </si>
  <si>
    <t>Select from dropdown</t>
  </si>
  <si>
    <t>Chemicals + Testing</t>
  </si>
  <si>
    <t>Water Fee Option #1 (OpEx Costs ONLY)</t>
  </si>
  <si>
    <t>Commissions &amp; Salaries</t>
  </si>
  <si>
    <t>Water Fee Option #2 (OpEx + Replacement Costs)</t>
  </si>
  <si>
    <t>Energy Costs</t>
  </si>
  <si>
    <t>Anticipated water fee</t>
  </si>
  <si>
    <t>Maintenance</t>
  </si>
  <si>
    <t>Anticipated Operational Cost Coverage</t>
  </si>
  <si>
    <t>%</t>
  </si>
  <si>
    <t>Other OpEx</t>
  </si>
  <si>
    <t>Anticipated Replacement Cost Coverage</t>
  </si>
  <si>
    <t>Anticipated Consumption Expenditure</t>
  </si>
  <si>
    <t>Support Visits</t>
  </si>
  <si>
    <t>Anticipated total revenue</t>
  </si>
  <si>
    <t>Anticipated operational costs (OpEx)</t>
  </si>
  <si>
    <t>Anticipated savings</t>
  </si>
  <si>
    <t>Anticipated replacement costs</t>
  </si>
  <si>
    <t>Anticipated total costs</t>
  </si>
  <si>
    <t>Additional Calculations</t>
  </si>
  <si>
    <t>Local Currency:</t>
  </si>
  <si>
    <t>Foreign Currency:</t>
  </si>
  <si>
    <t>Chlorine:</t>
  </si>
  <si>
    <t>Container &amp; Pricing Information</t>
  </si>
  <si>
    <t>Chemical Consumption</t>
  </si>
  <si>
    <t>Unit Cost</t>
  </si>
  <si>
    <t>weight (kg)</t>
  </si>
  <si>
    <t>% Cl</t>
  </si>
  <si>
    <t>mg/L</t>
  </si>
  <si>
    <r>
      <t>kg/m</t>
    </r>
    <r>
      <rPr>
        <vertAlign val="superscript"/>
        <sz val="11"/>
        <color theme="1"/>
        <rFont val="Roboto Light"/>
      </rPr>
      <t>3</t>
    </r>
  </si>
  <si>
    <t>Diesel Generator (for water production):</t>
  </si>
  <si>
    <t>Generator Size</t>
  </si>
  <si>
    <t>Fuel Cost</t>
  </si>
  <si>
    <t>Fuel Consumption</t>
  </si>
  <si>
    <t>kW</t>
  </si>
  <si>
    <t>hours operation/day</t>
  </si>
  <si>
    <t>L/KWh</t>
  </si>
  <si>
    <t>Grid Electricity (for water production):</t>
  </si>
  <si>
    <t>Pump Motor Size</t>
  </si>
  <si>
    <t>Power Cost</t>
  </si>
  <si>
    <t>Power Consumption</t>
  </si>
  <si>
    <t>Water Production</t>
  </si>
  <si>
    <t>Support Visits (for system maintenance, etc.)</t>
  </si>
  <si>
    <t>Est. Number of Support Visits per Year</t>
  </si>
  <si>
    <t>Number of Required Labor Days per Support Visit (including travel)</t>
  </si>
  <si>
    <t>Additional Revenue Sources (Institutions, e.g.):</t>
  </si>
  <si>
    <t>Expected Monthly Revenue</t>
  </si>
  <si>
    <t>Estimated Monthly Volume of Water (liters)</t>
  </si>
  <si>
    <t>Method of Revenue Collection</t>
  </si>
  <si>
    <t>Primary Revenue Source:</t>
  </si>
  <si>
    <t>Calculated on FSW</t>
  </si>
  <si>
    <t>Secondary Revenue Source:</t>
  </si>
  <si>
    <t>School</t>
  </si>
  <si>
    <t>Additional Revenue Source:</t>
  </si>
  <si>
    <t>Distribution Vehicle Cost Estimator:</t>
  </si>
  <si>
    <t>Fuel Efficiency</t>
  </si>
  <si>
    <t>Distance</t>
  </si>
  <si>
    <t>Cost/month</t>
  </si>
  <si>
    <t>% Containers Delivered</t>
  </si>
  <si>
    <r>
      <t>Cost/m</t>
    </r>
    <r>
      <rPr>
        <vertAlign val="superscript"/>
        <sz val="11"/>
        <rFont val="Roboto Light"/>
      </rPr>
      <t>3</t>
    </r>
  </si>
  <si>
    <t>Cost/container</t>
  </si>
  <si>
    <t>km/L</t>
  </si>
  <si>
    <t>km/month</t>
  </si>
  <si>
    <t>Service Life</t>
  </si>
  <si>
    <t>Purchase Price</t>
  </si>
  <si>
    <t>Insurance+Taxes</t>
  </si>
  <si>
    <t>years</t>
  </si>
  <si>
    <t xml:space="preserve">System Name: </t>
  </si>
  <si>
    <t>Management Name(s):</t>
  </si>
  <si>
    <t>Date:</t>
  </si>
  <si>
    <r>
      <t>Equipment</t>
    </r>
    <r>
      <rPr>
        <sz val="12"/>
        <rFont val="Roboto Light"/>
      </rPr>
      <t> </t>
    </r>
  </si>
  <si>
    <r>
      <t>Typical Lifespan
(years)</t>
    </r>
    <r>
      <rPr>
        <sz val="12"/>
        <color rgb="FF000000"/>
        <rFont val="Roboto Light"/>
      </rPr>
      <t> </t>
    </r>
  </si>
  <si>
    <r>
      <t xml:space="preserve">Approximate Cost
(Currency Code) </t>
    </r>
    <r>
      <rPr>
        <sz val="12"/>
        <color rgb="FF000000"/>
        <rFont val="Roboto Light"/>
      </rPr>
      <t> </t>
    </r>
  </si>
  <si>
    <t>Pump </t>
  </si>
  <si>
    <t>3-7 </t>
  </si>
  <si>
    <t> </t>
  </si>
  <si>
    <r>
      <t xml:space="preserve">Tap Stands </t>
    </r>
    <r>
      <rPr>
        <sz val="9"/>
        <color rgb="FF000000"/>
        <rFont val="Roboto Light"/>
      </rPr>
      <t>(small parts require more frequent replacement)</t>
    </r>
    <r>
      <rPr>
        <sz val="12"/>
        <color rgb="FF000000"/>
        <rFont val="Roboto Light"/>
      </rPr>
      <t> </t>
    </r>
  </si>
  <si>
    <t>Water Treatment </t>
  </si>
  <si>
    <t>5-15 </t>
  </si>
  <si>
    <t>Electrical </t>
  </si>
  <si>
    <t>10-20 </t>
  </si>
  <si>
    <t>Generator </t>
  </si>
  <si>
    <t>Solar Panels </t>
  </si>
  <si>
    <t>20-30 </t>
  </si>
  <si>
    <t>Water Tanks </t>
  </si>
  <si>
    <t>15-30 </t>
  </si>
  <si>
    <t>Water Source </t>
  </si>
  <si>
    <t>30-40 </t>
  </si>
  <si>
    <t>Structures </t>
  </si>
  <si>
    <t>20-60 </t>
  </si>
  <si>
    <t>Solar Rack </t>
  </si>
  <si>
    <t>Piping </t>
  </si>
  <si>
    <t>60+ </t>
  </si>
  <si>
    <t>Recommended Max Price per Container [</t>
  </si>
  <si>
    <t>]:</t>
  </si>
  <si>
    <t>Breakeven Price per Container [</t>
  </si>
  <si>
    <t>]</t>
  </si>
  <si>
    <t>Container Size:</t>
  </si>
  <si>
    <t>Household Penetration [%]</t>
  </si>
  <si>
    <t>Average Household Consumption [containers/day]</t>
  </si>
  <si>
    <t>Water Users</t>
  </si>
  <si>
    <t>[HH]</t>
  </si>
  <si>
    <t>[no.]</t>
  </si>
  <si>
    <t>Average Household Consumption [L/day]</t>
  </si>
  <si>
    <t>Production Requirements [L/day]</t>
  </si>
  <si>
    <t>Beneficiaries</t>
  </si>
  <si>
    <t>Recommended Max Monthly Fee [</t>
  </si>
  <si>
    <t>Breakeven Monthly Fee*</t>
  </si>
  <si>
    <t>Household Penetration:</t>
  </si>
  <si>
    <t>Water Users:</t>
  </si>
  <si>
    <t>HH</t>
  </si>
  <si>
    <t>Breakeven Fee:</t>
  </si>
  <si>
    <t>*Assumes target individual consumption from Financial Summary Worksheet when calculating variable costs</t>
  </si>
  <si>
    <t>Recommended Max Water Price</t>
  </si>
  <si>
    <t>Net Calculator</t>
  </si>
  <si>
    <t>Input/Result</t>
  </si>
  <si>
    <t>/container</t>
  </si>
  <si>
    <t>HH Penetration</t>
  </si>
  <si>
    <t>/HH/month</t>
  </si>
  <si>
    <t>Avg. HH Consumption</t>
  </si>
  <si>
    <t>Target Water Price</t>
  </si>
  <si>
    <t>Pay per Container - Total Net*</t>
  </si>
  <si>
    <t>USD/month</t>
  </si>
  <si>
    <t>Pay per Month - Total Net**</t>
  </si>
  <si>
    <t>Pay per Container  -  Total Net* [</t>
  </si>
  <si>
    <t>/month]</t>
  </si>
  <si>
    <t>*Revenue in excess of all operational costs and savings requirements</t>
  </si>
  <si>
    <t>Pay per Month  -  Total Net**</t>
  </si>
  <si>
    <t>Total Net:</t>
  </si>
  <si>
    <t>**Revenue in excess of all operational costs and savings requirements, assumes target individual consumption from Financial Summary Worksheet when calculating variable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</si>
</sst>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0"/>
    <numFmt numFmtId="166" formatCode="0.0%"/>
    <numFmt numFmtId="167" formatCode="#,##0.0"/>
    <numFmt numFmtId="168" formatCode="#,##0.000"/>
  </numFmts>
  <fonts count="29">
    <font>
      <sz val="11"/>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b/>
      <sz val="11"/>
      <color theme="1"/>
      <name val="Calibri"/>
      <family val="2"/>
      <scheme val="minor"/>
    </font>
    <font>
      <sz val="12"/>
      <name val="Times New Roman"/>
      <family val="1"/>
    </font>
    <font>
      <sz val="12"/>
      <color theme="1"/>
      <name val="Comic Sans MS"/>
      <family val="2"/>
    </font>
    <font>
      <u/>
      <sz val="11"/>
      <color theme="10"/>
      <name val="Calibri"/>
      <family val="2"/>
      <scheme val="minor"/>
    </font>
    <font>
      <sz val="9"/>
      <color indexed="81"/>
      <name val="Tahoma"/>
      <family val="2"/>
    </font>
    <font>
      <b/>
      <sz val="9"/>
      <color indexed="81"/>
      <name val="Tahoma"/>
      <family val="2"/>
    </font>
    <font>
      <sz val="11"/>
      <color theme="1"/>
      <name val="Roboto Light"/>
    </font>
    <font>
      <sz val="8"/>
      <color theme="1"/>
      <name val="Roboto Light"/>
    </font>
    <font>
      <b/>
      <sz val="11"/>
      <color theme="1"/>
      <name val="Roboto Light"/>
    </font>
    <font>
      <i/>
      <sz val="9"/>
      <color theme="1"/>
      <name val="Roboto Light"/>
    </font>
    <font>
      <sz val="9"/>
      <color theme="1"/>
      <name val="Roboto Light"/>
    </font>
    <font>
      <vertAlign val="superscript"/>
      <sz val="11"/>
      <color theme="1"/>
      <name val="Roboto Light"/>
    </font>
    <font>
      <b/>
      <sz val="11"/>
      <name val="Roboto Light"/>
    </font>
    <font>
      <sz val="10"/>
      <name val="Roboto Light"/>
    </font>
    <font>
      <sz val="11"/>
      <name val="Roboto Light"/>
    </font>
    <font>
      <i/>
      <sz val="11"/>
      <name val="Roboto Light"/>
    </font>
    <font>
      <sz val="11"/>
      <color theme="0"/>
      <name val="Roboto Light"/>
    </font>
    <font>
      <vertAlign val="superscript"/>
      <sz val="11"/>
      <name val="Roboto Light"/>
    </font>
    <font>
      <sz val="12"/>
      <name val="Roboto Light"/>
    </font>
    <font>
      <sz val="12"/>
      <color rgb="FF000000"/>
      <name val="Roboto Light"/>
    </font>
    <font>
      <sz val="9"/>
      <color rgb="FF000000"/>
      <name val="Roboto Light"/>
    </font>
    <font>
      <b/>
      <sz val="20"/>
      <color rgb="FF005BA8"/>
      <name val="Roboto Light"/>
    </font>
    <font>
      <b/>
      <sz val="11"/>
      <color theme="0"/>
      <name val="Aptos Narrow"/>
      <family val="2"/>
      <scheme val="minor"/>
    </font>
    <font>
      <b/>
      <sz val="11"/>
      <color theme="1"/>
      <name val="Aptos Narrow"/>
      <family val="2"/>
      <scheme val="minor"/>
    </font>
    <font>
      <b/>
      <sz val="26"/>
      <color rgb="FF005BA8"/>
      <name val="Roboto Light"/>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3" tint="0.79998168889431442"/>
        <bgColor indexed="64"/>
      </patternFill>
    </fill>
    <fill>
      <patternFill patternType="solid">
        <fgColor rgb="FF005BA8"/>
        <bgColor indexed="64"/>
      </patternFill>
    </fill>
    <fill>
      <patternFill patternType="solid">
        <fgColor rgb="FFA1D8CB"/>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theme="1"/>
      </left>
      <right style="thin">
        <color theme="1"/>
      </right>
      <top style="thin">
        <color theme="1"/>
      </top>
      <bottom style="thin">
        <color theme="1"/>
      </bottom>
      <diagonal/>
    </border>
    <border>
      <left/>
      <right style="thin">
        <color rgb="FF000000"/>
      </right>
      <top style="thin">
        <color rgb="FF000000"/>
      </top>
      <bottom/>
      <diagonal/>
    </border>
    <border>
      <left style="thin">
        <color theme="1"/>
      </left>
      <right style="thin">
        <color rgb="FF000000"/>
      </right>
      <top/>
      <bottom style="thin">
        <color theme="0"/>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5" fillId="0" borderId="0"/>
    <xf numFmtId="0" fontId="6" fillId="0" borderId="0"/>
    <xf numFmtId="0" fontId="7" fillId="0" borderId="0" applyNumberFormat="0" applyFill="0" applyBorder="0" applyAlignment="0" applyProtection="0"/>
  </cellStyleXfs>
  <cellXfs count="401">
    <xf numFmtId="0" fontId="0" fillId="0" borderId="0" xfId="0"/>
    <xf numFmtId="0" fontId="1" fillId="0" borderId="0" xfId="0" applyFont="1" applyAlignment="1">
      <alignment horizontal="center"/>
    </xf>
    <xf numFmtId="0" fontId="1" fillId="2" borderId="19" xfId="0" applyFont="1" applyFill="1" applyBorder="1" applyAlignment="1">
      <alignment horizontal="center"/>
    </xf>
    <xf numFmtId="0" fontId="1" fillId="2" borderId="20" xfId="0" applyFont="1" applyFill="1" applyBorder="1" applyAlignment="1">
      <alignment horizontal="center"/>
    </xf>
    <xf numFmtId="0" fontId="1" fillId="2" borderId="21" xfId="0" applyFont="1" applyFill="1" applyBorder="1" applyAlignment="1">
      <alignment horizontal="center"/>
    </xf>
    <xf numFmtId="0" fontId="1" fillId="2" borderId="22" xfId="0" applyFont="1" applyFill="1" applyBorder="1" applyAlignment="1">
      <alignment horizontal="center"/>
    </xf>
    <xf numFmtId="0" fontId="1" fillId="2" borderId="0" xfId="0" applyFont="1" applyFill="1" applyAlignment="1">
      <alignment horizontal="center"/>
    </xf>
    <xf numFmtId="0" fontId="1" fillId="2" borderId="23" xfId="0" applyFont="1" applyFill="1" applyBorder="1" applyAlignment="1">
      <alignment horizontal="center"/>
    </xf>
    <xf numFmtId="0" fontId="1" fillId="2" borderId="22" xfId="0" applyFont="1" applyFill="1" applyBorder="1" applyAlignment="1">
      <alignment horizontal="left"/>
    </xf>
    <xf numFmtId="0" fontId="1" fillId="2" borderId="18" xfId="0" applyFont="1" applyFill="1" applyBorder="1" applyAlignment="1">
      <alignment horizontal="center"/>
    </xf>
    <xf numFmtId="0" fontId="1" fillId="2" borderId="17" xfId="0" applyFont="1" applyFill="1" applyBorder="1" applyAlignment="1">
      <alignment horizontal="center"/>
    </xf>
    <xf numFmtId="0" fontId="1" fillId="2" borderId="24" xfId="0" applyFont="1" applyFill="1" applyBorder="1" applyAlignment="1">
      <alignment horizontal="center"/>
    </xf>
    <xf numFmtId="165" fontId="1" fillId="2" borderId="0" xfId="0" applyNumberFormat="1" applyFont="1" applyFill="1" applyAlignment="1">
      <alignment horizontal="center"/>
    </xf>
    <xf numFmtId="1" fontId="2" fillId="2" borderId="0" xfId="0" applyNumberFormat="1" applyFont="1" applyFill="1" applyAlignment="1">
      <alignment horizontal="center"/>
    </xf>
    <xf numFmtId="2" fontId="1" fillId="2" borderId="0" xfId="0" applyNumberFormat="1" applyFont="1" applyFill="1" applyAlignment="1">
      <alignment horizontal="center"/>
    </xf>
    <xf numFmtId="0" fontId="2" fillId="2" borderId="23" xfId="0" applyFont="1" applyFill="1" applyBorder="1" applyAlignment="1">
      <alignment horizontal="center"/>
    </xf>
    <xf numFmtId="2" fontId="1" fillId="2" borderId="23" xfId="0" applyNumberFormat="1" applyFont="1" applyFill="1" applyBorder="1" applyAlignment="1">
      <alignment horizontal="center"/>
    </xf>
    <xf numFmtId="0" fontId="2" fillId="2" borderId="6" xfId="0" applyFont="1" applyFill="1" applyBorder="1" applyAlignment="1">
      <alignment horizontal="center"/>
    </xf>
    <xf numFmtId="0" fontId="2" fillId="2" borderId="9" xfId="0" applyFont="1" applyFill="1" applyBorder="1" applyAlignment="1">
      <alignment horizontal="center"/>
    </xf>
    <xf numFmtId="0" fontId="2" fillId="2" borderId="3" xfId="0" applyFont="1" applyFill="1" applyBorder="1" applyAlignment="1">
      <alignment horizontal="center"/>
    </xf>
    <xf numFmtId="1" fontId="2" fillId="3" borderId="0" xfId="0" applyNumberFormat="1" applyFont="1" applyFill="1" applyAlignment="1">
      <alignment horizontal="center"/>
    </xf>
    <xf numFmtId="0" fontId="1" fillId="2" borderId="13" xfId="0" applyFont="1" applyFill="1" applyBorder="1" applyAlignment="1">
      <alignment horizontal="center"/>
    </xf>
    <xf numFmtId="0" fontId="1" fillId="2" borderId="15" xfId="0" applyFont="1" applyFill="1" applyBorder="1" applyAlignment="1">
      <alignment horizontal="center"/>
    </xf>
    <xf numFmtId="0" fontId="1" fillId="3" borderId="13" xfId="0" applyFont="1" applyFill="1" applyBorder="1" applyAlignment="1">
      <alignment horizontal="center"/>
    </xf>
    <xf numFmtId="0" fontId="1" fillId="3" borderId="0" xfId="0" applyFont="1" applyFill="1" applyAlignment="1">
      <alignment horizontal="center"/>
    </xf>
    <xf numFmtId="0" fontId="1" fillId="3" borderId="15" xfId="0" applyFont="1" applyFill="1" applyBorder="1" applyAlignment="1">
      <alignment horizontal="center"/>
    </xf>
    <xf numFmtId="1" fontId="2" fillId="2" borderId="9" xfId="0" applyNumberFormat="1" applyFont="1" applyFill="1" applyBorder="1" applyAlignment="1">
      <alignment horizontal="center"/>
    </xf>
    <xf numFmtId="1" fontId="2" fillId="2" borderId="28" xfId="0" applyNumberFormat="1" applyFont="1" applyFill="1" applyBorder="1" applyAlignment="1">
      <alignment horizontal="center"/>
    </xf>
    <xf numFmtId="1" fontId="2" fillId="2" borderId="6" xfId="0" applyNumberFormat="1" applyFont="1" applyFill="1" applyBorder="1" applyAlignment="1">
      <alignment horizontal="center"/>
    </xf>
    <xf numFmtId="2" fontId="1" fillId="2" borderId="13" xfId="0" applyNumberFormat="1" applyFont="1" applyFill="1" applyBorder="1" applyAlignment="1">
      <alignment horizontal="center"/>
    </xf>
    <xf numFmtId="164" fontId="1" fillId="3" borderId="0" xfId="0" applyNumberFormat="1" applyFont="1" applyFill="1" applyAlignment="1">
      <alignment horizontal="center"/>
    </xf>
    <xf numFmtId="164" fontId="1" fillId="2" borderId="0" xfId="0" applyNumberFormat="1" applyFont="1" applyFill="1" applyAlignment="1">
      <alignment horizontal="center"/>
    </xf>
    <xf numFmtId="1" fontId="1" fillId="2" borderId="0" xfId="0" applyNumberFormat="1" applyFont="1" applyFill="1" applyAlignment="1">
      <alignment horizontal="center"/>
    </xf>
    <xf numFmtId="1" fontId="1" fillId="2" borderId="23" xfId="0" applyNumberFormat="1" applyFont="1" applyFill="1" applyBorder="1" applyAlignment="1">
      <alignment horizontal="center"/>
    </xf>
    <xf numFmtId="164" fontId="1" fillId="2" borderId="13" xfId="0" applyNumberFormat="1" applyFont="1" applyFill="1" applyBorder="1" applyAlignment="1">
      <alignment horizontal="center"/>
    </xf>
    <xf numFmtId="164" fontId="1" fillId="2" borderId="15" xfId="0" applyNumberFormat="1" applyFont="1" applyFill="1" applyBorder="1" applyAlignment="1">
      <alignment horizontal="center"/>
    </xf>
    <xf numFmtId="164" fontId="1" fillId="3" borderId="13" xfId="0" applyNumberFormat="1" applyFont="1" applyFill="1" applyBorder="1" applyAlignment="1">
      <alignment horizontal="center"/>
    </xf>
    <xf numFmtId="164" fontId="1" fillId="3" borderId="15" xfId="0" applyNumberFormat="1" applyFont="1" applyFill="1" applyBorder="1" applyAlignment="1">
      <alignment horizontal="center"/>
    </xf>
    <xf numFmtId="1" fontId="1" fillId="2" borderId="13" xfId="0" applyNumberFormat="1" applyFont="1" applyFill="1" applyBorder="1" applyAlignment="1">
      <alignment horizontal="center"/>
    </xf>
    <xf numFmtId="0" fontId="1" fillId="2" borderId="0" xfId="0" applyFont="1" applyFill="1" applyAlignment="1">
      <alignment horizontal="left"/>
    </xf>
    <xf numFmtId="0" fontId="0" fillId="2" borderId="0" xfId="0" applyFill="1"/>
    <xf numFmtId="0" fontId="0" fillId="2" borderId="17" xfId="0" applyFill="1" applyBorder="1"/>
    <xf numFmtId="1" fontId="1" fillId="2" borderId="15" xfId="0" applyNumberFormat="1" applyFont="1" applyFill="1" applyBorder="1" applyAlignment="1">
      <alignment horizontal="center"/>
    </xf>
    <xf numFmtId="1" fontId="1" fillId="3" borderId="13" xfId="0" applyNumberFormat="1" applyFont="1" applyFill="1" applyBorder="1" applyAlignment="1">
      <alignment horizontal="center"/>
    </xf>
    <xf numFmtId="1" fontId="1" fillId="3" borderId="0" xfId="0" applyNumberFormat="1" applyFont="1" applyFill="1" applyAlignment="1">
      <alignment horizontal="center"/>
    </xf>
    <xf numFmtId="1" fontId="1" fillId="3" borderId="15" xfId="0" applyNumberFormat="1" applyFont="1" applyFill="1" applyBorder="1" applyAlignment="1">
      <alignment horizontal="center"/>
    </xf>
    <xf numFmtId="1" fontId="1" fillId="2" borderId="4" xfId="0" applyNumberFormat="1" applyFont="1" applyFill="1" applyBorder="1" applyAlignment="1">
      <alignment horizontal="center"/>
    </xf>
    <xf numFmtId="1" fontId="1" fillId="2" borderId="10" xfId="0" applyNumberFormat="1" applyFont="1" applyFill="1" applyBorder="1" applyAlignment="1">
      <alignment horizontal="center"/>
    </xf>
    <xf numFmtId="1" fontId="1" fillId="2" borderId="5" xfId="0" applyNumberFormat="1" applyFont="1" applyFill="1" applyBorder="1" applyAlignment="1">
      <alignment horizontal="center"/>
    </xf>
    <xf numFmtId="0" fontId="2" fillId="2" borderId="0" xfId="0" applyFont="1" applyFill="1" applyAlignment="1">
      <alignment horizontal="center"/>
    </xf>
    <xf numFmtId="0" fontId="2" fillId="2" borderId="9"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13" xfId="0" applyFont="1" applyFill="1" applyBorder="1" applyAlignment="1">
      <alignment horizontal="center"/>
    </xf>
    <xf numFmtId="0" fontId="1" fillId="2" borderId="0" xfId="0" applyFont="1" applyFill="1" applyAlignment="1">
      <alignment horizontal="center" vertical="center"/>
    </xf>
    <xf numFmtId="0" fontId="1" fillId="2" borderId="10" xfId="0" applyFont="1" applyFill="1" applyBorder="1" applyAlignment="1">
      <alignment horizontal="center" vertical="center"/>
    </xf>
    <xf numFmtId="2" fontId="1" fillId="2" borderId="0" xfId="0" applyNumberFormat="1" applyFont="1" applyFill="1" applyAlignment="1">
      <alignment horizontal="center" vertical="center" wrapText="1"/>
    </xf>
    <xf numFmtId="165" fontId="1" fillId="2" borderId="10" xfId="0" applyNumberFormat="1" applyFont="1" applyFill="1" applyBorder="1" applyAlignment="1">
      <alignment horizontal="center" vertical="center" wrapText="1"/>
    </xf>
    <xf numFmtId="164" fontId="1" fillId="2" borderId="6" xfId="0" applyNumberFormat="1" applyFont="1" applyFill="1" applyBorder="1" applyAlignment="1">
      <alignment horizontal="center"/>
    </xf>
    <xf numFmtId="164" fontId="1" fillId="2" borderId="9" xfId="0" applyNumberFormat="1" applyFont="1" applyFill="1" applyBorder="1" applyAlignment="1">
      <alignment horizontal="center"/>
    </xf>
    <xf numFmtId="164" fontId="1" fillId="2" borderId="3" xfId="0" applyNumberFormat="1" applyFont="1" applyFill="1" applyBorder="1" applyAlignment="1">
      <alignment horizontal="center"/>
    </xf>
    <xf numFmtId="0" fontId="2" fillId="2" borderId="13" xfId="0" applyFont="1" applyFill="1" applyBorder="1" applyAlignment="1">
      <alignment horizontal="center" vertical="top"/>
    </xf>
    <xf numFmtId="0" fontId="2" fillId="2" borderId="0" xfId="0" applyFont="1" applyFill="1" applyAlignment="1">
      <alignment horizontal="center" vertical="top"/>
    </xf>
    <xf numFmtId="0" fontId="2" fillId="2" borderId="15" xfId="0" applyFont="1" applyFill="1" applyBorder="1" applyAlignment="1">
      <alignment horizontal="center" vertical="top"/>
    </xf>
    <xf numFmtId="0" fontId="1" fillId="2" borderId="6" xfId="0" applyFont="1" applyFill="1" applyBorder="1" applyAlignment="1">
      <alignment horizontal="center"/>
    </xf>
    <xf numFmtId="0" fontId="1" fillId="2" borderId="9" xfId="0" applyFont="1" applyFill="1" applyBorder="1" applyAlignment="1">
      <alignment horizontal="center"/>
    </xf>
    <xf numFmtId="0" fontId="1" fillId="2" borderId="3" xfId="0" applyFont="1" applyFill="1" applyBorder="1" applyAlignment="1">
      <alignment horizont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1" fontId="1" fillId="2" borderId="6" xfId="0" applyNumberFormat="1" applyFont="1" applyFill="1" applyBorder="1" applyAlignment="1">
      <alignment horizontal="center"/>
    </xf>
    <xf numFmtId="1" fontId="1" fillId="2" borderId="9" xfId="0" applyNumberFormat="1" applyFont="1" applyFill="1" applyBorder="1" applyAlignment="1">
      <alignment horizontal="center"/>
    </xf>
    <xf numFmtId="1" fontId="1" fillId="2" borderId="3" xfId="0" applyNumberFormat="1" applyFont="1" applyFill="1" applyBorder="1" applyAlignment="1">
      <alignment horizontal="center"/>
    </xf>
    <xf numFmtId="0" fontId="2" fillId="2" borderId="0" xfId="0" applyFont="1" applyFill="1"/>
    <xf numFmtId="0" fontId="2" fillId="2" borderId="0" xfId="0" applyFont="1" applyFill="1" applyAlignment="1">
      <alignment vertical="top"/>
    </xf>
    <xf numFmtId="0" fontId="2" fillId="2" borderId="0" xfId="0" applyFont="1" applyFill="1" applyAlignment="1">
      <alignment vertical="center"/>
    </xf>
    <xf numFmtId="1" fontId="1" fillId="2" borderId="14" xfId="0" applyNumberFormat="1" applyFont="1" applyFill="1" applyBorder="1" applyAlignment="1">
      <alignment horizontal="center" vertical="center"/>
    </xf>
    <xf numFmtId="0" fontId="2" fillId="2" borderId="13"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5" xfId="0" applyFont="1" applyFill="1" applyBorder="1" applyAlignment="1">
      <alignment horizontal="center" vertical="center"/>
    </xf>
    <xf numFmtId="1" fontId="1" fillId="2" borderId="16" xfId="0" applyNumberFormat="1" applyFont="1" applyFill="1" applyBorder="1" applyAlignment="1">
      <alignment horizontal="center" vertical="center"/>
    </xf>
    <xf numFmtId="0" fontId="2" fillId="2" borderId="0" xfId="0" applyFont="1" applyFill="1" applyAlignment="1">
      <alignment horizontal="right" vertical="center"/>
    </xf>
    <xf numFmtId="1" fontId="1" fillId="2" borderId="12" xfId="0" applyNumberFormat="1" applyFont="1" applyFill="1" applyBorder="1" applyAlignment="1">
      <alignment horizontal="center" vertical="center"/>
    </xf>
    <xf numFmtId="0" fontId="1" fillId="2" borderId="16"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4" xfId="0" applyFont="1" applyFill="1" applyBorder="1" applyAlignment="1">
      <alignment horizontal="right" vertical="center"/>
    </xf>
    <xf numFmtId="0" fontId="1" fillId="2" borderId="5" xfId="0" applyFont="1" applyFill="1" applyBorder="1" applyAlignment="1">
      <alignment horizontal="left" vertical="center"/>
    </xf>
    <xf numFmtId="1" fontId="1" fillId="2" borderId="3" xfId="0" applyNumberFormat="1" applyFont="1" applyFill="1" applyBorder="1" applyAlignment="1">
      <alignment horizontal="center" vertical="center"/>
    </xf>
    <xf numFmtId="0" fontId="1" fillId="2" borderId="0" xfId="0" applyFont="1" applyFill="1" applyAlignment="1">
      <alignment horizontal="right" vertical="center"/>
    </xf>
    <xf numFmtId="0" fontId="1" fillId="2" borderId="0" xfId="0" applyFont="1" applyFill="1" applyAlignment="1">
      <alignment horizontal="left" vertical="center"/>
    </xf>
    <xf numFmtId="0" fontId="1" fillId="2" borderId="13" xfId="0" applyFont="1" applyFill="1" applyBorder="1" applyAlignment="1">
      <alignment horizontal="right" vertical="center"/>
    </xf>
    <xf numFmtId="0" fontId="1" fillId="2" borderId="15" xfId="0" applyFont="1" applyFill="1" applyBorder="1" applyAlignment="1">
      <alignment horizontal="left" vertical="center"/>
    </xf>
    <xf numFmtId="1" fontId="1" fillId="2" borderId="0" xfId="0" applyNumberFormat="1" applyFont="1" applyFill="1" applyAlignment="1">
      <alignment horizontal="center" vertical="center"/>
    </xf>
    <xf numFmtId="0" fontId="1" fillId="4" borderId="10" xfId="0" applyFont="1" applyFill="1" applyBorder="1" applyAlignment="1" applyProtection="1">
      <alignment horizontal="center" vertical="center"/>
      <protection locked="0"/>
    </xf>
    <xf numFmtId="3" fontId="1" fillId="4" borderId="0" xfId="0" applyNumberFormat="1" applyFont="1" applyFill="1" applyAlignment="1" applyProtection="1">
      <alignment horizontal="center" vertical="center"/>
      <protection locked="0"/>
    </xf>
    <xf numFmtId="0" fontId="1" fillId="4" borderId="16" xfId="0" applyFont="1" applyFill="1" applyBorder="1" applyAlignment="1" applyProtection="1">
      <alignment horizontal="center" vertical="center"/>
      <protection locked="0"/>
    </xf>
    <xf numFmtId="0" fontId="1" fillId="4" borderId="14" xfId="0" applyFont="1" applyFill="1" applyBorder="1" applyAlignment="1" applyProtection="1">
      <alignment horizontal="center" vertical="center"/>
      <protection locked="0"/>
    </xf>
    <xf numFmtId="0" fontId="2" fillId="2" borderId="15" xfId="0" applyFont="1" applyFill="1" applyBorder="1" applyAlignment="1">
      <alignment horizontal="left" vertical="center"/>
    </xf>
    <xf numFmtId="2" fontId="1" fillId="5" borderId="0" xfId="0" applyNumberFormat="1" applyFont="1" applyFill="1" applyAlignment="1">
      <alignment horizontal="center" vertical="center"/>
    </xf>
    <xf numFmtId="164" fontId="1" fillId="5" borderId="0" xfId="0" applyNumberFormat="1" applyFont="1" applyFill="1" applyAlignment="1">
      <alignment horizontal="center" vertical="center"/>
    </xf>
    <xf numFmtId="0" fontId="4" fillId="2" borderId="0" xfId="0" applyFont="1" applyFill="1" applyAlignment="1">
      <alignment horizontal="right" vertical="center"/>
    </xf>
    <xf numFmtId="1" fontId="1" fillId="5" borderId="0" xfId="0" applyNumberFormat="1" applyFont="1" applyFill="1" applyAlignment="1">
      <alignment horizontal="center" vertical="center"/>
    </xf>
    <xf numFmtId="2" fontId="1" fillId="5" borderId="10" xfId="0" applyNumberFormat="1" applyFont="1" applyFill="1" applyBorder="1" applyAlignment="1">
      <alignment horizontal="center" vertical="center"/>
    </xf>
    <xf numFmtId="3" fontId="1" fillId="5" borderId="0" xfId="0" applyNumberFormat="1" applyFont="1" applyFill="1" applyAlignment="1">
      <alignment horizontal="center" vertical="center"/>
    </xf>
    <xf numFmtId="164" fontId="1" fillId="5" borderId="10" xfId="0" applyNumberFormat="1" applyFont="1" applyFill="1" applyBorder="1" applyAlignment="1">
      <alignment horizontal="center" vertical="center"/>
    </xf>
    <xf numFmtId="2" fontId="1" fillId="2" borderId="15" xfId="0" applyNumberFormat="1" applyFont="1" applyFill="1" applyBorder="1" applyAlignment="1">
      <alignment horizontal="center"/>
    </xf>
    <xf numFmtId="2" fontId="1" fillId="3" borderId="13" xfId="0" applyNumberFormat="1" applyFont="1" applyFill="1" applyBorder="1" applyAlignment="1">
      <alignment horizontal="center"/>
    </xf>
    <xf numFmtId="2" fontId="1" fillId="3" borderId="0" xfId="0" applyNumberFormat="1" applyFont="1" applyFill="1" applyAlignment="1">
      <alignment horizontal="center"/>
    </xf>
    <xf numFmtId="2" fontId="1" fillId="3" borderId="15" xfId="0" applyNumberFormat="1" applyFont="1" applyFill="1" applyBorder="1" applyAlignment="1">
      <alignment horizontal="center"/>
    </xf>
    <xf numFmtId="2" fontId="1" fillId="2" borderId="6" xfId="0" applyNumberFormat="1" applyFont="1" applyFill="1" applyBorder="1" applyAlignment="1">
      <alignment horizontal="center"/>
    </xf>
    <xf numFmtId="2" fontId="1" fillId="2" borderId="9" xfId="0" applyNumberFormat="1" applyFont="1" applyFill="1" applyBorder="1" applyAlignment="1">
      <alignment horizontal="center"/>
    </xf>
    <xf numFmtId="2" fontId="1" fillId="2" borderId="3" xfId="0" applyNumberFormat="1" applyFont="1" applyFill="1" applyBorder="1" applyAlignment="1">
      <alignment horizontal="center"/>
    </xf>
    <xf numFmtId="0" fontId="0" fillId="0" borderId="0" xfId="0" applyAlignment="1">
      <alignment vertical="center"/>
    </xf>
    <xf numFmtId="0" fontId="0" fillId="0" borderId="0" xfId="0" applyAlignment="1">
      <alignment horizontal="center" vertical="center"/>
    </xf>
    <xf numFmtId="0" fontId="10" fillId="4" borderId="4" xfId="0" applyFont="1" applyFill="1" applyBorder="1" applyAlignment="1">
      <alignment horizontal="left" vertical="center"/>
    </xf>
    <xf numFmtId="0" fontId="10" fillId="4" borderId="5" xfId="0" applyFont="1" applyFill="1" applyBorder="1" applyAlignment="1">
      <alignment horizontal="left" vertical="center"/>
    </xf>
    <xf numFmtId="0" fontId="11" fillId="2" borderId="0" xfId="0" applyFont="1" applyFill="1" applyAlignment="1">
      <alignment horizontal="left" vertical="center"/>
    </xf>
    <xf numFmtId="0" fontId="10" fillId="4" borderId="13" xfId="0" applyFont="1" applyFill="1" applyBorder="1" applyAlignment="1">
      <alignment horizontal="left" vertical="center"/>
    </xf>
    <xf numFmtId="0" fontId="10" fillId="4" borderId="0" xfId="0" applyFont="1" applyFill="1" applyAlignment="1">
      <alignment horizontal="left" vertical="center"/>
    </xf>
    <xf numFmtId="0" fontId="10" fillId="4" borderId="15" xfId="0" applyFont="1" applyFill="1" applyBorder="1" applyAlignment="1">
      <alignment horizontal="left" vertical="center"/>
    </xf>
    <xf numFmtId="0" fontId="10" fillId="2" borderId="0" xfId="0" applyFont="1" applyFill="1"/>
    <xf numFmtId="0" fontId="12" fillId="4" borderId="6" xfId="0" applyFont="1" applyFill="1" applyBorder="1" applyAlignment="1">
      <alignment horizontal="left" vertical="center"/>
    </xf>
    <xf numFmtId="0" fontId="10" fillId="4" borderId="9" xfId="0" applyFont="1" applyFill="1" applyBorder="1" applyAlignment="1">
      <alignment horizontal="left" vertical="center"/>
    </xf>
    <xf numFmtId="0" fontId="12" fillId="4" borderId="12" xfId="0" applyFont="1" applyFill="1" applyBorder="1" applyAlignment="1">
      <alignment horizontal="center" vertical="center"/>
    </xf>
    <xf numFmtId="0" fontId="10" fillId="4" borderId="5" xfId="0" applyFont="1" applyFill="1" applyBorder="1" applyAlignment="1">
      <alignment vertical="center"/>
    </xf>
    <xf numFmtId="0" fontId="10" fillId="6" borderId="16" xfId="0" applyFont="1" applyFill="1" applyBorder="1" applyAlignment="1" applyProtection="1">
      <alignment horizontal="center" vertical="center"/>
      <protection locked="0"/>
    </xf>
    <xf numFmtId="0" fontId="10" fillId="4" borderId="0" xfId="0" applyFont="1" applyFill="1" applyAlignment="1">
      <alignment vertical="center"/>
    </xf>
    <xf numFmtId="0" fontId="10" fillId="4" borderId="15" xfId="0" applyFont="1" applyFill="1" applyBorder="1" applyAlignment="1">
      <alignment vertical="center"/>
    </xf>
    <xf numFmtId="1" fontId="10" fillId="6" borderId="14" xfId="0" applyNumberFormat="1" applyFont="1" applyFill="1" applyBorder="1" applyAlignment="1" applyProtection="1">
      <alignment horizontal="center" vertical="center"/>
      <protection locked="0"/>
    </xf>
    <xf numFmtId="0" fontId="10" fillId="4" borderId="14" xfId="0" applyFont="1" applyFill="1" applyBorder="1" applyAlignment="1">
      <alignment horizontal="left" vertical="center"/>
    </xf>
    <xf numFmtId="3" fontId="10" fillId="4" borderId="14" xfId="0" applyNumberFormat="1" applyFont="1" applyFill="1" applyBorder="1" applyAlignment="1">
      <alignment horizontal="center" vertical="center"/>
    </xf>
    <xf numFmtId="3" fontId="10" fillId="6" borderId="14" xfId="0" applyNumberFormat="1" applyFont="1" applyFill="1" applyBorder="1" applyAlignment="1" applyProtection="1">
      <alignment horizontal="center" vertical="center"/>
      <protection locked="0"/>
    </xf>
    <xf numFmtId="0" fontId="10" fillId="6" borderId="14" xfId="0" applyFont="1" applyFill="1" applyBorder="1" applyAlignment="1" applyProtection="1">
      <alignment horizontal="center" vertical="center"/>
      <protection locked="0"/>
    </xf>
    <xf numFmtId="3" fontId="10" fillId="6" borderId="14" xfId="1" applyNumberFormat="1" applyFont="1" applyFill="1" applyBorder="1" applyAlignment="1" applyProtection="1">
      <alignment horizontal="center" vertical="center"/>
      <protection locked="0"/>
    </xf>
    <xf numFmtId="9" fontId="10" fillId="6" borderId="14" xfId="2" applyFont="1" applyFill="1" applyBorder="1" applyAlignment="1" applyProtection="1">
      <alignment horizontal="center" vertical="center"/>
      <protection locked="0"/>
    </xf>
    <xf numFmtId="0" fontId="10" fillId="6" borderId="14" xfId="2" applyNumberFormat="1" applyFont="1" applyFill="1" applyBorder="1" applyAlignment="1" applyProtection="1">
      <alignment horizontal="center" vertical="center"/>
      <protection locked="0"/>
    </xf>
    <xf numFmtId="9" fontId="10" fillId="6" borderId="12" xfId="2" applyFont="1" applyFill="1" applyBorder="1" applyAlignment="1" applyProtection="1">
      <alignment horizontal="center" vertical="center"/>
      <protection locked="0"/>
    </xf>
    <xf numFmtId="9" fontId="10" fillId="4" borderId="0" xfId="2" applyFont="1" applyFill="1" applyBorder="1" applyAlignment="1" applyProtection="1">
      <alignment horizontal="center" vertical="center"/>
    </xf>
    <xf numFmtId="9" fontId="10" fillId="6" borderId="1" xfId="2" applyFont="1" applyFill="1" applyBorder="1" applyAlignment="1" applyProtection="1">
      <alignment horizontal="center" vertical="center"/>
      <protection locked="0"/>
    </xf>
    <xf numFmtId="3" fontId="10" fillId="4" borderId="0" xfId="0" applyNumberFormat="1" applyFont="1" applyFill="1" applyAlignment="1">
      <alignment horizontal="right" vertical="center"/>
    </xf>
    <xf numFmtId="164" fontId="10" fillId="6" borderId="1" xfId="0" applyNumberFormat="1" applyFont="1" applyFill="1" applyBorder="1" applyAlignment="1" applyProtection="1">
      <alignment horizontal="center" vertical="center"/>
      <protection locked="0"/>
    </xf>
    <xf numFmtId="167" fontId="10" fillId="4" borderId="0" xfId="0" applyNumberFormat="1" applyFont="1" applyFill="1" applyAlignment="1">
      <alignment horizontal="right" vertical="center"/>
    </xf>
    <xf numFmtId="3" fontId="10" fillId="4" borderId="13" xfId="0" applyNumberFormat="1" applyFont="1" applyFill="1" applyBorder="1" applyAlignment="1">
      <alignment horizontal="center" vertical="center"/>
    </xf>
    <xf numFmtId="3" fontId="10" fillId="4" borderId="0" xfId="0" applyNumberFormat="1" applyFont="1" applyFill="1" applyAlignment="1">
      <alignment horizontal="left" vertical="center"/>
    </xf>
    <xf numFmtId="3" fontId="10" fillId="4" borderId="1" xfId="0" applyNumberFormat="1" applyFont="1" applyFill="1" applyBorder="1" applyAlignment="1">
      <alignment horizontal="center" vertical="center"/>
    </xf>
    <xf numFmtId="3" fontId="10" fillId="4" borderId="13" xfId="0" applyNumberFormat="1" applyFont="1" applyFill="1" applyBorder="1" applyAlignment="1">
      <alignment horizontal="right" vertical="center"/>
    </xf>
    <xf numFmtId="0" fontId="10" fillId="2" borderId="0" xfId="0" applyFont="1" applyFill="1" applyAlignment="1">
      <alignment horizontal="left" vertical="center"/>
    </xf>
    <xf numFmtId="0" fontId="12" fillId="2" borderId="0" xfId="0" applyFont="1" applyFill="1" applyAlignment="1">
      <alignment horizontal="center" vertical="center"/>
    </xf>
    <xf numFmtId="0" fontId="12" fillId="4" borderId="13" xfId="0" applyFont="1" applyFill="1" applyBorder="1" applyAlignment="1">
      <alignment horizontal="center" vertical="center"/>
    </xf>
    <xf numFmtId="0" fontId="12" fillId="4" borderId="0" xfId="0" applyFont="1" applyFill="1" applyAlignment="1">
      <alignment horizontal="center" vertical="center"/>
    </xf>
    <xf numFmtId="0" fontId="12" fillId="4" borderId="14" xfId="0" applyFont="1" applyFill="1" applyBorder="1" applyAlignment="1">
      <alignment horizontal="center" vertical="center"/>
    </xf>
    <xf numFmtId="0" fontId="10" fillId="2" borderId="0" xfId="0" applyFont="1" applyFill="1" applyAlignment="1">
      <alignment horizontal="center" vertical="center"/>
    </xf>
    <xf numFmtId="0" fontId="12" fillId="4" borderId="13" xfId="0" applyFont="1" applyFill="1" applyBorder="1" applyAlignment="1">
      <alignment horizontal="left" vertical="center"/>
    </xf>
    <xf numFmtId="0" fontId="10" fillId="4" borderId="9"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0" xfId="0" applyFont="1" applyFill="1" applyAlignment="1">
      <alignment horizontal="center" vertical="center"/>
    </xf>
    <xf numFmtId="0" fontId="10" fillId="4" borderId="9" xfId="0" applyFont="1" applyFill="1" applyBorder="1" applyAlignment="1">
      <alignment horizontal="center"/>
    </xf>
    <xf numFmtId="3" fontId="10" fillId="6" borderId="0" xfId="0" applyNumberFormat="1" applyFont="1" applyFill="1" applyAlignment="1" applyProtection="1">
      <alignment horizontal="center" vertical="center"/>
      <protection locked="0"/>
    </xf>
    <xf numFmtId="2" fontId="10" fillId="4" borderId="14" xfId="0" applyNumberFormat="1" applyFont="1" applyFill="1" applyBorder="1" applyAlignment="1">
      <alignment horizontal="center" vertical="center"/>
    </xf>
    <xf numFmtId="3" fontId="10" fillId="4" borderId="4" xfId="0" applyNumberFormat="1" applyFont="1" applyFill="1" applyBorder="1" applyAlignment="1">
      <alignment horizontal="center" vertical="center"/>
    </xf>
    <xf numFmtId="2" fontId="10" fillId="4" borderId="5" xfId="0" applyNumberFormat="1" applyFont="1" applyFill="1" applyBorder="1" applyAlignment="1">
      <alignment horizontal="center" vertical="center"/>
    </xf>
    <xf numFmtId="3" fontId="10" fillId="4" borderId="4" xfId="2" applyNumberFormat="1" applyFont="1" applyFill="1" applyBorder="1" applyAlignment="1" applyProtection="1">
      <alignment horizontal="center" vertical="center"/>
    </xf>
    <xf numFmtId="2" fontId="10" fillId="4" borderId="15" xfId="2" applyNumberFormat="1" applyFont="1" applyFill="1" applyBorder="1" applyAlignment="1" applyProtection="1">
      <alignment horizontal="center" vertical="center"/>
    </xf>
    <xf numFmtId="9" fontId="10" fillId="4" borderId="4" xfId="0" applyNumberFormat="1" applyFont="1" applyFill="1" applyBorder="1" applyAlignment="1">
      <alignment horizontal="center"/>
    </xf>
    <xf numFmtId="3" fontId="10" fillId="6" borderId="15" xfId="0" applyNumberFormat="1" applyFont="1" applyFill="1" applyBorder="1" applyAlignment="1" applyProtection="1">
      <alignment horizontal="center" vertical="center"/>
      <protection locked="0"/>
    </xf>
    <xf numFmtId="3" fontId="10" fillId="4" borderId="0" xfId="0" applyNumberFormat="1" applyFont="1" applyFill="1" applyAlignment="1">
      <alignment horizontal="center" vertical="center"/>
    </xf>
    <xf numFmtId="4" fontId="10" fillId="4" borderId="15" xfId="0" applyNumberFormat="1" applyFont="1" applyFill="1" applyBorder="1" applyAlignment="1">
      <alignment horizontal="center" vertical="center"/>
    </xf>
    <xf numFmtId="2" fontId="10" fillId="4" borderId="0" xfId="2" applyNumberFormat="1" applyFont="1" applyFill="1" applyBorder="1" applyAlignment="1" applyProtection="1">
      <alignment horizontal="center" vertical="center"/>
    </xf>
    <xf numFmtId="9" fontId="10" fillId="4" borderId="13" xfId="2" applyFont="1" applyFill="1" applyBorder="1" applyAlignment="1" applyProtection="1">
      <alignment horizontal="center" vertical="center"/>
    </xf>
    <xf numFmtId="0" fontId="12" fillId="2" borderId="0" xfId="0" applyFont="1" applyFill="1" applyAlignment="1">
      <alignment horizontal="center" vertical="center" textRotation="90"/>
    </xf>
    <xf numFmtId="2" fontId="10" fillId="4" borderId="15" xfId="0" applyNumberFormat="1" applyFont="1" applyFill="1" applyBorder="1" applyAlignment="1">
      <alignment horizontal="center" vertical="center"/>
    </xf>
    <xf numFmtId="9" fontId="10" fillId="4" borderId="15" xfId="2" applyFont="1" applyFill="1" applyBorder="1" applyAlignment="1" applyProtection="1">
      <alignment horizontal="center" vertical="center"/>
    </xf>
    <xf numFmtId="0" fontId="10" fillId="4" borderId="0" xfId="0" applyFont="1" applyFill="1"/>
    <xf numFmtId="2" fontId="10" fillId="4" borderId="0" xfId="0" applyNumberFormat="1" applyFont="1" applyFill="1" applyAlignment="1">
      <alignment horizontal="center" vertical="center"/>
    </xf>
    <xf numFmtId="3" fontId="10" fillId="4" borderId="6" xfId="0" applyNumberFormat="1" applyFont="1" applyFill="1" applyBorder="1" applyAlignment="1">
      <alignment horizontal="center" vertical="center"/>
    </xf>
    <xf numFmtId="2" fontId="10" fillId="4" borderId="3" xfId="0" applyNumberFormat="1" applyFont="1" applyFill="1" applyBorder="1" applyAlignment="1">
      <alignment horizontal="center" vertical="center"/>
    </xf>
    <xf numFmtId="9" fontId="10" fillId="4" borderId="6" xfId="2" applyFont="1" applyFill="1" applyBorder="1" applyAlignment="1" applyProtection="1">
      <alignment horizontal="center" vertical="center"/>
    </xf>
    <xf numFmtId="0" fontId="10" fillId="4" borderId="16" xfId="0" applyFont="1" applyFill="1" applyBorder="1" applyAlignment="1">
      <alignment horizontal="center" vertical="center"/>
    </xf>
    <xf numFmtId="3" fontId="10" fillId="6" borderId="10" xfId="0" applyNumberFormat="1" applyFont="1" applyFill="1" applyBorder="1" applyAlignment="1" applyProtection="1">
      <alignment horizontal="center" vertical="center"/>
      <protection locked="0"/>
    </xf>
    <xf numFmtId="0" fontId="10" fillId="4" borderId="14"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9" xfId="0" applyFont="1" applyFill="1" applyBorder="1" applyAlignment="1">
      <alignment vertical="center"/>
    </xf>
    <xf numFmtId="0" fontId="10" fillId="4" borderId="3" xfId="0" applyFont="1" applyFill="1" applyBorder="1" applyAlignment="1">
      <alignment vertical="center"/>
    </xf>
    <xf numFmtId="3" fontId="10" fillId="6" borderId="9" xfId="0" applyNumberFormat="1" applyFont="1" applyFill="1" applyBorder="1" applyAlignment="1" applyProtection="1">
      <alignment horizontal="center" vertical="center"/>
      <protection locked="0"/>
    </xf>
    <xf numFmtId="0" fontId="10" fillId="4" borderId="13" xfId="0" applyFont="1" applyFill="1" applyBorder="1" applyAlignment="1">
      <alignment vertical="center" wrapText="1"/>
    </xf>
    <xf numFmtId="0" fontId="10" fillId="4" borderId="0" xfId="0" applyFont="1" applyFill="1" applyAlignment="1">
      <alignment horizontal="right" vertical="center"/>
    </xf>
    <xf numFmtId="0" fontId="10" fillId="4" borderId="15" xfId="0" applyFont="1" applyFill="1" applyBorder="1" applyAlignment="1">
      <alignment horizontal="right" vertical="center"/>
    </xf>
    <xf numFmtId="0" fontId="10" fillId="4" borderId="3" xfId="0" applyFont="1" applyFill="1" applyBorder="1" applyAlignment="1">
      <alignment horizontal="left" vertical="center"/>
    </xf>
    <xf numFmtId="0" fontId="10" fillId="4" borderId="3" xfId="0" applyFont="1" applyFill="1" applyBorder="1" applyAlignment="1">
      <alignment horizontal="center" vertical="center"/>
    </xf>
    <xf numFmtId="3" fontId="10" fillId="6" borderId="13" xfId="1" applyNumberFormat="1" applyFont="1" applyFill="1" applyBorder="1" applyAlignment="1" applyProtection="1">
      <alignment horizontal="center" vertical="center"/>
      <protection locked="0"/>
    </xf>
    <xf numFmtId="37" fontId="10" fillId="4" borderId="15" xfId="1" applyNumberFormat="1" applyFont="1" applyFill="1" applyBorder="1" applyAlignment="1" applyProtection="1">
      <alignment horizontal="center"/>
    </xf>
    <xf numFmtId="0" fontId="10" fillId="4" borderId="6" xfId="0" applyFont="1" applyFill="1" applyBorder="1" applyAlignment="1">
      <alignment horizontal="left" vertical="center"/>
    </xf>
    <xf numFmtId="0" fontId="10" fillId="6" borderId="12" xfId="0" applyFont="1" applyFill="1" applyBorder="1" applyAlignment="1" applyProtection="1">
      <alignment horizontal="center" vertical="center"/>
      <protection locked="0"/>
    </xf>
    <xf numFmtId="3" fontId="10" fillId="4" borderId="5" xfId="0" applyNumberFormat="1" applyFont="1" applyFill="1" applyBorder="1" applyAlignment="1">
      <alignment horizontal="center" vertical="center"/>
    </xf>
    <xf numFmtId="0" fontId="11" fillId="4" borderId="15" xfId="0" applyFont="1" applyFill="1" applyBorder="1" applyAlignment="1">
      <alignment horizontal="left" vertical="center"/>
    </xf>
    <xf numFmtId="0" fontId="10" fillId="4" borderId="15" xfId="0" applyFont="1" applyFill="1" applyBorder="1"/>
    <xf numFmtId="0" fontId="12" fillId="4" borderId="15" xfId="0" applyFont="1" applyFill="1" applyBorder="1" applyAlignment="1">
      <alignment vertical="center"/>
    </xf>
    <xf numFmtId="9" fontId="10" fillId="4" borderId="15" xfId="0" applyNumberFormat="1" applyFont="1" applyFill="1" applyBorder="1" applyAlignment="1">
      <alignment horizontal="center"/>
    </xf>
    <xf numFmtId="2" fontId="10" fillId="4" borderId="12" xfId="0" applyNumberFormat="1" applyFont="1" applyFill="1" applyBorder="1" applyAlignment="1">
      <alignment horizontal="center" vertical="center"/>
    </xf>
    <xf numFmtId="0" fontId="10" fillId="4" borderId="1" xfId="0" applyFont="1" applyFill="1" applyBorder="1" applyAlignment="1">
      <alignment horizontal="center" vertical="center"/>
    </xf>
    <xf numFmtId="0" fontId="10" fillId="4" borderId="13" xfId="0" applyFont="1" applyFill="1" applyBorder="1"/>
    <xf numFmtId="3" fontId="10" fillId="4" borderId="16" xfId="0" applyNumberFormat="1" applyFont="1" applyFill="1" applyBorder="1" applyAlignment="1">
      <alignment horizontal="center" vertical="center"/>
    </xf>
    <xf numFmtId="1" fontId="10" fillId="4" borderId="14" xfId="0" applyNumberFormat="1" applyFont="1" applyFill="1" applyBorder="1" applyAlignment="1">
      <alignment horizontal="center" vertical="center"/>
    </xf>
    <xf numFmtId="0" fontId="11" fillId="4" borderId="0" xfId="0" applyFont="1" applyFill="1" applyAlignment="1">
      <alignment horizontal="left" vertical="center"/>
    </xf>
    <xf numFmtId="3" fontId="10" fillId="4" borderId="12" xfId="0" applyNumberFormat="1" applyFont="1" applyFill="1" applyBorder="1" applyAlignment="1">
      <alignment horizontal="center" vertical="center"/>
    </xf>
    <xf numFmtId="1" fontId="10" fillId="4" borderId="12" xfId="0" applyNumberFormat="1" applyFont="1" applyFill="1" applyBorder="1" applyAlignment="1">
      <alignment horizontal="center" vertical="center"/>
    </xf>
    <xf numFmtId="0" fontId="10" fillId="4" borderId="9" xfId="0" applyFont="1" applyFill="1" applyBorder="1" applyAlignment="1">
      <alignment wrapText="1"/>
    </xf>
    <xf numFmtId="0" fontId="10" fillId="4" borderId="4" xfId="0" applyFont="1" applyFill="1" applyBorder="1" applyAlignment="1">
      <alignment vertical="center"/>
    </xf>
    <xf numFmtId="0" fontId="10" fillId="2" borderId="0" xfId="0" applyFont="1" applyFill="1" applyAlignment="1">
      <alignment vertical="center"/>
    </xf>
    <xf numFmtId="0" fontId="10" fillId="4" borderId="13" xfId="0" applyFont="1" applyFill="1" applyBorder="1" applyAlignment="1">
      <alignment vertical="center"/>
    </xf>
    <xf numFmtId="0" fontId="16" fillId="4" borderId="1" xfId="0" applyFont="1" applyFill="1" applyBorder="1" applyAlignment="1">
      <alignment vertical="center"/>
    </xf>
    <xf numFmtId="0" fontId="12" fillId="4" borderId="0" xfId="0" applyFont="1" applyFill="1" applyAlignment="1">
      <alignment vertical="center"/>
    </xf>
    <xf numFmtId="0" fontId="10" fillId="4" borderId="11" xfId="0" applyFont="1" applyFill="1" applyBorder="1" applyAlignment="1">
      <alignment horizontal="center" vertical="center"/>
    </xf>
    <xf numFmtId="0" fontId="10" fillId="4" borderId="30" xfId="0" applyFont="1" applyFill="1" applyBorder="1" applyAlignment="1">
      <alignment horizontal="center" vertical="center"/>
    </xf>
    <xf numFmtId="165" fontId="10" fillId="4" borderId="12" xfId="0" applyNumberFormat="1" applyFont="1" applyFill="1" applyBorder="1" applyAlignment="1">
      <alignment horizontal="center" vertical="center"/>
    </xf>
    <xf numFmtId="0" fontId="10" fillId="4" borderId="26" xfId="0" applyFont="1" applyFill="1" applyBorder="1" applyAlignment="1">
      <alignment horizontal="center" vertical="center"/>
    </xf>
    <xf numFmtId="2" fontId="10" fillId="6" borderId="12" xfId="0" applyNumberFormat="1" applyFont="1" applyFill="1" applyBorder="1" applyAlignment="1" applyProtection="1">
      <alignment horizontal="center" vertical="center"/>
      <protection locked="0"/>
    </xf>
    <xf numFmtId="2" fontId="10" fillId="4" borderId="3" xfId="2" applyNumberFormat="1" applyFont="1" applyFill="1" applyBorder="1" applyAlignment="1" applyProtection="1">
      <alignment horizontal="center" vertical="center"/>
    </xf>
    <xf numFmtId="4" fontId="10" fillId="4" borderId="12" xfId="0" applyNumberFormat="1" applyFont="1" applyFill="1" applyBorder="1" applyAlignment="1">
      <alignment horizontal="center" vertical="center"/>
    </xf>
    <xf numFmtId="3" fontId="10" fillId="4" borderId="33" xfId="0" applyNumberFormat="1" applyFont="1" applyFill="1" applyBorder="1" applyAlignment="1">
      <alignment horizontal="center" vertical="center"/>
    </xf>
    <xf numFmtId="0" fontId="10" fillId="4" borderId="33" xfId="0" applyFont="1" applyFill="1" applyBorder="1" applyAlignment="1">
      <alignment horizontal="center" vertical="center"/>
    </xf>
    <xf numFmtId="0" fontId="10" fillId="4" borderId="1" xfId="0" applyFont="1" applyFill="1" applyBorder="1" applyAlignment="1">
      <alignment vertical="center"/>
    </xf>
    <xf numFmtId="2" fontId="10" fillId="4" borderId="33" xfId="0" applyNumberFormat="1" applyFont="1" applyFill="1" applyBorder="1" applyAlignment="1">
      <alignment horizontal="center" vertical="center"/>
    </xf>
    <xf numFmtId="1" fontId="10" fillId="4" borderId="0" xfId="0" applyNumberFormat="1" applyFont="1" applyFill="1" applyAlignment="1">
      <alignment horizontal="center" vertical="center"/>
    </xf>
    <xf numFmtId="168" fontId="10" fillId="4" borderId="0" xfId="0" applyNumberFormat="1" applyFont="1" applyFill="1" applyAlignment="1">
      <alignment horizontal="center" vertical="center"/>
    </xf>
    <xf numFmtId="0" fontId="10" fillId="6" borderId="1" xfId="0" applyFont="1" applyFill="1" applyBorder="1" applyAlignment="1" applyProtection="1">
      <alignment horizontal="center" vertical="center"/>
      <protection locked="0"/>
    </xf>
    <xf numFmtId="3" fontId="10" fillId="6" borderId="1" xfId="1" applyNumberFormat="1" applyFont="1" applyFill="1" applyBorder="1" applyAlignment="1" applyProtection="1">
      <alignment horizontal="center" vertical="center"/>
      <protection locked="0"/>
    </xf>
    <xf numFmtId="0" fontId="18" fillId="4" borderId="0" xfId="0" applyFont="1" applyFill="1" applyAlignment="1">
      <alignment vertical="center"/>
    </xf>
    <xf numFmtId="0" fontId="18" fillId="4" borderId="13" xfId="0" applyFont="1" applyFill="1" applyBorder="1" applyAlignment="1">
      <alignment vertical="center"/>
    </xf>
    <xf numFmtId="0" fontId="18" fillId="4" borderId="1" xfId="0" applyFont="1" applyFill="1" applyBorder="1" applyAlignment="1">
      <alignment horizontal="center" vertical="center"/>
    </xf>
    <xf numFmtId="3" fontId="10" fillId="6" borderId="1" xfId="0" applyNumberFormat="1" applyFont="1" applyFill="1" applyBorder="1" applyAlignment="1" applyProtection="1">
      <alignment horizontal="center" vertical="center"/>
      <protection locked="0"/>
    </xf>
    <xf numFmtId="4" fontId="10" fillId="4" borderId="1" xfId="0" applyNumberFormat="1" applyFont="1" applyFill="1" applyBorder="1" applyAlignment="1">
      <alignment horizontal="center" vertical="center"/>
    </xf>
    <xf numFmtId="3" fontId="18" fillId="6" borderId="1" xfId="0" applyNumberFormat="1" applyFont="1" applyFill="1" applyBorder="1" applyAlignment="1">
      <alignment horizontal="center" vertical="center"/>
    </xf>
    <xf numFmtId="3" fontId="18" fillId="6" borderId="1" xfId="0" applyNumberFormat="1" applyFont="1" applyFill="1" applyBorder="1" applyAlignment="1" applyProtection="1">
      <alignment horizontal="center" vertical="center"/>
      <protection locked="0"/>
    </xf>
    <xf numFmtId="0" fontId="20" fillId="4" borderId="1" xfId="0" applyFont="1" applyFill="1" applyBorder="1" applyAlignment="1">
      <alignment vertical="center"/>
    </xf>
    <xf numFmtId="0" fontId="18" fillId="4" borderId="11" xfId="0" applyFont="1" applyFill="1" applyBorder="1" applyAlignment="1">
      <alignment horizontal="center" vertical="center"/>
    </xf>
    <xf numFmtId="0" fontId="18" fillId="4" borderId="16" xfId="0" applyFont="1" applyFill="1" applyBorder="1" applyAlignment="1">
      <alignment horizontal="center" vertical="center"/>
    </xf>
    <xf numFmtId="2" fontId="10" fillId="6" borderId="1" xfId="0" applyNumberFormat="1" applyFont="1" applyFill="1" applyBorder="1" applyAlignment="1" applyProtection="1">
      <alignment horizontal="center" vertical="center"/>
      <protection locked="0"/>
    </xf>
    <xf numFmtId="0" fontId="18" fillId="6" borderId="12" xfId="3" applyFont="1" applyFill="1" applyBorder="1" applyAlignment="1" applyProtection="1">
      <alignment horizontal="center" vertical="center"/>
      <protection locked="0"/>
    </xf>
    <xf numFmtId="3" fontId="18" fillId="6" borderId="6" xfId="0" applyNumberFormat="1" applyFont="1" applyFill="1" applyBorder="1" applyAlignment="1" applyProtection="1">
      <alignment horizontal="center" vertical="center"/>
      <protection locked="0"/>
    </xf>
    <xf numFmtId="1" fontId="10" fillId="0" borderId="1" xfId="0" applyNumberFormat="1" applyFont="1" applyBorder="1" applyAlignment="1">
      <alignment horizontal="center" vertical="center"/>
    </xf>
    <xf numFmtId="9" fontId="18" fillId="6" borderId="12" xfId="0" applyNumberFormat="1" applyFont="1" applyFill="1" applyBorder="1" applyAlignment="1" applyProtection="1">
      <alignment horizontal="center" vertical="center"/>
      <protection locked="0"/>
    </xf>
    <xf numFmtId="3" fontId="18" fillId="4" borderId="12" xfId="0" applyNumberFormat="1" applyFont="1" applyFill="1" applyBorder="1" applyAlignment="1">
      <alignment horizontal="center" vertical="center"/>
    </xf>
    <xf numFmtId="2" fontId="18" fillId="4" borderId="12" xfId="0" applyNumberFormat="1" applyFont="1" applyFill="1" applyBorder="1" applyAlignment="1">
      <alignment horizontal="center" vertical="center"/>
    </xf>
    <xf numFmtId="0" fontId="18" fillId="4" borderId="14" xfId="0" applyFont="1" applyFill="1" applyBorder="1" applyAlignment="1">
      <alignment horizontal="center" vertical="center"/>
    </xf>
    <xf numFmtId="2" fontId="10" fillId="0" borderId="1" xfId="0" applyNumberFormat="1" applyFont="1" applyBorder="1" applyAlignment="1">
      <alignment horizontal="center" vertical="center"/>
    </xf>
    <xf numFmtId="4" fontId="18" fillId="4" borderId="12" xfId="0" applyNumberFormat="1" applyFont="1" applyFill="1" applyBorder="1" applyAlignment="1">
      <alignment horizontal="center" vertical="center"/>
    </xf>
    <xf numFmtId="168" fontId="18" fillId="4" borderId="12" xfId="0" applyNumberFormat="1" applyFont="1" applyFill="1" applyBorder="1" applyAlignment="1">
      <alignment horizontal="center" vertical="center"/>
    </xf>
    <xf numFmtId="0" fontId="18" fillId="4" borderId="1" xfId="0" applyFont="1" applyFill="1" applyBorder="1" applyAlignment="1">
      <alignment vertical="center"/>
    </xf>
    <xf numFmtId="0" fontId="18" fillId="4" borderId="0" xfId="0" applyFont="1" applyFill="1" applyAlignment="1">
      <alignment vertical="center" wrapText="1"/>
    </xf>
    <xf numFmtId="0" fontId="18" fillId="6" borderId="12" xfId="5" applyNumberFormat="1" applyFont="1" applyFill="1" applyBorder="1" applyAlignment="1" applyProtection="1">
      <alignment horizontal="center" vertical="center"/>
      <protection locked="0"/>
    </xf>
    <xf numFmtId="3" fontId="18" fillId="6" borderId="12" xfId="5" applyNumberFormat="1" applyFont="1" applyFill="1" applyBorder="1" applyAlignment="1" applyProtection="1">
      <alignment horizontal="center" vertical="center"/>
      <protection locked="0"/>
    </xf>
    <xf numFmtId="3" fontId="18" fillId="6" borderId="12" xfId="0" applyNumberFormat="1" applyFont="1" applyFill="1" applyBorder="1" applyAlignment="1" applyProtection="1">
      <alignment horizontal="center" vertical="center"/>
      <protection locked="0"/>
    </xf>
    <xf numFmtId="3" fontId="18" fillId="6" borderId="1" xfId="5" applyNumberFormat="1" applyFont="1" applyFill="1" applyBorder="1" applyAlignment="1" applyProtection="1">
      <alignment horizontal="center" vertical="center"/>
      <protection locked="0"/>
    </xf>
    <xf numFmtId="0" fontId="18" fillId="4" borderId="0" xfId="0" applyFont="1" applyFill="1" applyAlignment="1">
      <alignment horizontal="left" vertical="center" wrapText="1"/>
    </xf>
    <xf numFmtId="0" fontId="10" fillId="4" borderId="6" xfId="0" applyFont="1" applyFill="1" applyBorder="1" applyAlignment="1">
      <alignment vertical="center"/>
    </xf>
    <xf numFmtId="0" fontId="22" fillId="0" borderId="1" xfId="0" applyFont="1" applyBorder="1" applyAlignment="1">
      <alignment horizontal="center" vertical="center" wrapText="1"/>
    </xf>
    <xf numFmtId="0" fontId="25" fillId="0" borderId="0" xfId="0" applyFont="1" applyAlignment="1">
      <alignment horizontal="left"/>
    </xf>
    <xf numFmtId="0" fontId="10" fillId="0" borderId="0" xfId="0" applyFont="1" applyAlignment="1">
      <alignment horizontal="center" vertical="center"/>
    </xf>
    <xf numFmtId="0" fontId="10" fillId="0" borderId="0" xfId="0" applyFont="1"/>
    <xf numFmtId="0" fontId="12" fillId="0" borderId="0" xfId="0" applyFont="1" applyAlignment="1">
      <alignment horizontal="left" vertical="center" wrapText="1" indent="1"/>
    </xf>
    <xf numFmtId="0" fontId="26" fillId="7" borderId="35" xfId="0" applyFont="1" applyFill="1" applyBorder="1" applyAlignment="1">
      <alignment horizontal="center" vertical="center" wrapText="1"/>
    </xf>
    <xf numFmtId="0" fontId="27" fillId="8" borderId="36" xfId="0" applyFont="1" applyFill="1" applyBorder="1" applyAlignment="1">
      <alignment horizontal="center" vertical="center"/>
    </xf>
    <xf numFmtId="0" fontId="27" fillId="8" borderId="36" xfId="0" applyFont="1" applyFill="1" applyBorder="1" applyAlignment="1">
      <alignment horizontal="center" vertical="center" wrapText="1"/>
    </xf>
    <xf numFmtId="0" fontId="10" fillId="4" borderId="10" xfId="0" applyFont="1" applyFill="1" applyBorder="1" applyAlignment="1">
      <alignment horizontal="left" vertical="center" indent="7"/>
    </xf>
    <xf numFmtId="0" fontId="10" fillId="4" borderId="5" xfId="0" applyFont="1" applyFill="1" applyBorder="1" applyAlignment="1">
      <alignment horizontal="left" vertical="center" indent="7"/>
    </xf>
    <xf numFmtId="0" fontId="10" fillId="4" borderId="0" xfId="0" applyFont="1" applyFill="1" applyAlignment="1">
      <alignment horizontal="left" vertical="center" indent="7"/>
    </xf>
    <xf numFmtId="0" fontId="10" fillId="4" borderId="15" xfId="0" applyFont="1" applyFill="1" applyBorder="1" applyAlignment="1">
      <alignment horizontal="left" vertical="center" indent="7"/>
    </xf>
    <xf numFmtId="0" fontId="10" fillId="4" borderId="9" xfId="0" applyFont="1" applyFill="1" applyBorder="1" applyAlignment="1">
      <alignment horizontal="left" vertical="center" indent="7"/>
    </xf>
    <xf numFmtId="0" fontId="10" fillId="4" borderId="3" xfId="0" applyFont="1" applyFill="1" applyBorder="1" applyAlignment="1">
      <alignment horizontal="left" vertical="center" indent="7"/>
    </xf>
    <xf numFmtId="9" fontId="18" fillId="4" borderId="5" xfId="0" applyNumberFormat="1" applyFont="1" applyFill="1" applyBorder="1" applyAlignment="1">
      <alignment horizontal="center" vertical="center"/>
    </xf>
    <xf numFmtId="9" fontId="18" fillId="4" borderId="3" xfId="0" applyNumberFormat="1" applyFont="1" applyFill="1" applyBorder="1" applyAlignment="1">
      <alignment horizontal="center" vertical="center"/>
    </xf>
    <xf numFmtId="0" fontId="12" fillId="4" borderId="13" xfId="0" applyFont="1" applyFill="1" applyBorder="1" applyAlignment="1">
      <alignment horizontal="center" wrapText="1"/>
    </xf>
    <xf numFmtId="0" fontId="12" fillId="4" borderId="6" xfId="0" applyFont="1" applyFill="1" applyBorder="1" applyAlignment="1">
      <alignment horizontal="center" wrapText="1"/>
    </xf>
    <xf numFmtId="9" fontId="10" fillId="4" borderId="1" xfId="2" applyFont="1" applyFill="1" applyBorder="1" applyAlignment="1" applyProtection="1">
      <alignment horizontal="center" vertical="center"/>
    </xf>
    <xf numFmtId="0" fontId="12" fillId="4" borderId="10" xfId="0" applyFont="1" applyFill="1" applyBorder="1" applyAlignment="1">
      <alignment horizontal="right" vertical="center"/>
    </xf>
    <xf numFmtId="0" fontId="12" fillId="4" borderId="5" xfId="0" applyFont="1" applyFill="1" applyBorder="1" applyAlignment="1">
      <alignment horizontal="right" vertical="center"/>
    </xf>
    <xf numFmtId="0" fontId="12" fillId="4" borderId="0" xfId="0" applyFont="1" applyFill="1" applyAlignment="1">
      <alignment horizontal="right" vertical="center"/>
    </xf>
    <xf numFmtId="0" fontId="12" fillId="4" borderId="15" xfId="0" applyFont="1" applyFill="1" applyBorder="1" applyAlignment="1">
      <alignment horizontal="right" vertical="center"/>
    </xf>
    <xf numFmtId="3" fontId="10" fillId="6" borderId="16" xfId="0" applyNumberFormat="1" applyFont="1" applyFill="1" applyBorder="1" applyAlignment="1" applyProtection="1">
      <alignment horizontal="center" vertical="center"/>
      <protection locked="0"/>
    </xf>
    <xf numFmtId="3" fontId="10" fillId="6" borderId="12" xfId="0" applyNumberFormat="1" applyFont="1" applyFill="1" applyBorder="1" applyAlignment="1" applyProtection="1">
      <alignment horizontal="center" vertical="center"/>
      <protection locked="0"/>
    </xf>
    <xf numFmtId="2" fontId="10" fillId="4" borderId="16" xfId="0" applyNumberFormat="1" applyFont="1" applyFill="1" applyBorder="1" applyAlignment="1">
      <alignment horizontal="center" vertical="center"/>
    </xf>
    <xf numFmtId="2" fontId="10" fillId="4" borderId="12" xfId="0" applyNumberFormat="1" applyFont="1" applyFill="1" applyBorder="1" applyAlignment="1">
      <alignment horizontal="center" vertical="center"/>
    </xf>
    <xf numFmtId="0" fontId="10" fillId="4" borderId="0" xfId="0" applyFont="1" applyFill="1" applyAlignment="1">
      <alignment vertical="center" wrapText="1"/>
    </xf>
    <xf numFmtId="0" fontId="10" fillId="4" borderId="16" xfId="0" applyFont="1" applyFill="1" applyBorder="1" applyAlignment="1">
      <alignment horizontal="center" vertical="center"/>
    </xf>
    <xf numFmtId="0" fontId="10" fillId="4" borderId="12" xfId="0" applyFont="1" applyFill="1" applyBorder="1" applyAlignment="1">
      <alignment horizontal="center" vertical="center"/>
    </xf>
    <xf numFmtId="0" fontId="17" fillId="4" borderId="1" xfId="0" applyFont="1" applyFill="1" applyBorder="1" applyAlignment="1">
      <alignment horizontal="left" vertical="center" wrapText="1"/>
    </xf>
    <xf numFmtId="2" fontId="10" fillId="0" borderId="16" xfId="0" applyNumberFormat="1" applyFont="1" applyBorder="1" applyAlignment="1">
      <alignment horizontal="center" vertical="center"/>
    </xf>
    <xf numFmtId="2" fontId="10" fillId="0" borderId="12" xfId="0" applyNumberFormat="1" applyFont="1" applyBorder="1" applyAlignment="1">
      <alignment horizontal="center" vertical="center"/>
    </xf>
    <xf numFmtId="3" fontId="10" fillId="0" borderId="16" xfId="0" applyNumberFormat="1" applyFont="1" applyBorder="1" applyAlignment="1">
      <alignment horizontal="center" vertical="center"/>
    </xf>
    <xf numFmtId="3" fontId="10" fillId="0" borderId="12" xfId="0" applyNumberFormat="1" applyFont="1" applyBorder="1" applyAlignment="1">
      <alignment horizontal="center" vertical="center"/>
    </xf>
    <xf numFmtId="166" fontId="10" fillId="2" borderId="2" xfId="2" applyNumberFormat="1" applyFont="1" applyFill="1" applyBorder="1" applyAlignment="1" applyProtection="1">
      <alignment horizontal="center" vertical="center"/>
    </xf>
    <xf numFmtId="166" fontId="10" fillId="2" borderId="8" xfId="2" applyNumberFormat="1" applyFont="1" applyFill="1" applyBorder="1" applyAlignment="1" applyProtection="1">
      <alignment horizontal="center" vertical="center"/>
    </xf>
    <xf numFmtId="0" fontId="12" fillId="4" borderId="13"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4" xfId="0" applyFont="1" applyFill="1" applyBorder="1" applyAlignment="1">
      <alignment horizontal="center" vertical="center" textRotation="90"/>
    </xf>
    <xf numFmtId="0" fontId="12" fillId="4" borderId="13" xfId="0" applyFont="1" applyFill="1" applyBorder="1" applyAlignment="1">
      <alignment horizontal="center" vertical="center" textRotation="90"/>
    </xf>
    <xf numFmtId="0" fontId="12" fillId="4" borderId="6" xfId="0" applyFont="1" applyFill="1" applyBorder="1" applyAlignment="1">
      <alignment horizontal="center" vertical="center" textRotation="90"/>
    </xf>
    <xf numFmtId="0" fontId="10" fillId="4" borderId="10" xfId="0" applyFont="1" applyFill="1" applyBorder="1" applyAlignment="1">
      <alignment horizontal="left" vertical="center"/>
    </xf>
    <xf numFmtId="0" fontId="10" fillId="4" borderId="0" xfId="0" applyFont="1" applyFill="1" applyAlignment="1">
      <alignment horizontal="left" vertical="center"/>
    </xf>
    <xf numFmtId="0" fontId="10" fillId="4" borderId="10" xfId="0" applyFont="1" applyFill="1" applyBorder="1" applyAlignment="1">
      <alignment vertical="center"/>
    </xf>
    <xf numFmtId="0" fontId="10" fillId="4" borderId="5" xfId="0" applyFont="1" applyFill="1" applyBorder="1" applyAlignment="1">
      <alignment vertical="center"/>
    </xf>
    <xf numFmtId="0" fontId="10" fillId="4" borderId="0" xfId="0" applyFont="1" applyFill="1" applyAlignment="1">
      <alignment vertical="center"/>
    </xf>
    <xf numFmtId="0" fontId="10" fillId="4" borderId="15" xfId="0" applyFont="1" applyFill="1" applyBorder="1" applyAlignment="1">
      <alignment vertical="center"/>
    </xf>
    <xf numFmtId="0" fontId="10" fillId="4" borderId="15" xfId="0" applyFont="1" applyFill="1" applyBorder="1" applyAlignment="1">
      <alignment horizontal="left" vertical="center"/>
    </xf>
    <xf numFmtId="0" fontId="16" fillId="4" borderId="1" xfId="0" applyFont="1" applyFill="1" applyBorder="1" applyAlignment="1">
      <alignment horizontal="center" vertical="center" wrapText="1"/>
    </xf>
    <xf numFmtId="0" fontId="10" fillId="4" borderId="7" xfId="0" applyFont="1" applyFill="1" applyBorder="1" applyAlignment="1">
      <alignment horizontal="left" vertical="center"/>
    </xf>
    <xf numFmtId="0" fontId="10" fillId="4" borderId="8" xfId="0" applyFont="1" applyFill="1" applyBorder="1" applyAlignment="1">
      <alignment horizontal="left" vertical="center"/>
    </xf>
    <xf numFmtId="0" fontId="10" fillId="6" borderId="2" xfId="0" applyFont="1" applyFill="1" applyBorder="1" applyAlignment="1" applyProtection="1">
      <alignment horizontal="center" vertical="center"/>
      <protection locked="0"/>
    </xf>
    <xf numFmtId="0" fontId="10" fillId="6" borderId="8" xfId="0" applyFont="1" applyFill="1" applyBorder="1" applyAlignment="1" applyProtection="1">
      <alignment horizontal="center" vertical="center"/>
      <protection locked="0"/>
    </xf>
    <xf numFmtId="0" fontId="12" fillId="4" borderId="14"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0" fillId="4" borderId="9" xfId="0" applyFont="1" applyFill="1" applyBorder="1" applyAlignment="1">
      <alignment horizontal="right" vertical="center"/>
    </xf>
    <xf numFmtId="0" fontId="10" fillId="4" borderId="3" xfId="0" applyFont="1" applyFill="1" applyBorder="1" applyAlignment="1">
      <alignment horizontal="right" vertical="center"/>
    </xf>
    <xf numFmtId="0" fontId="10" fillId="4" borderId="7" xfId="0" applyFont="1" applyFill="1" applyBorder="1" applyAlignment="1">
      <alignment horizontal="right" vertical="center"/>
    </xf>
    <xf numFmtId="0" fontId="10" fillId="4" borderId="8" xfId="0" applyFont="1" applyFill="1" applyBorder="1" applyAlignment="1">
      <alignment horizontal="right" vertical="center"/>
    </xf>
    <xf numFmtId="0" fontId="10" fillId="4" borderId="5" xfId="0" applyFont="1" applyFill="1" applyBorder="1" applyAlignment="1">
      <alignment horizontal="left" vertical="center"/>
    </xf>
    <xf numFmtId="3" fontId="10" fillId="4" borderId="0" xfId="0" applyNumberFormat="1" applyFont="1" applyFill="1" applyAlignment="1">
      <alignment horizontal="left" vertical="center"/>
    </xf>
    <xf numFmtId="3" fontId="10" fillId="4" borderId="15" xfId="0" applyNumberFormat="1" applyFont="1" applyFill="1" applyBorder="1" applyAlignment="1">
      <alignment horizontal="left" vertical="center"/>
    </xf>
    <xf numFmtId="0" fontId="10" fillId="4" borderId="9" xfId="0" applyFont="1" applyFill="1" applyBorder="1" applyAlignment="1">
      <alignment horizontal="left" vertical="center"/>
    </xf>
    <xf numFmtId="0" fontId="10" fillId="4" borderId="3" xfId="0" applyFont="1" applyFill="1" applyBorder="1" applyAlignment="1">
      <alignment horizontal="left" vertical="center"/>
    </xf>
    <xf numFmtId="0" fontId="10" fillId="4" borderId="10"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10" xfId="0" applyFont="1" applyFill="1" applyBorder="1" applyAlignment="1">
      <alignment horizontal="right" vertical="center"/>
    </xf>
    <xf numFmtId="0" fontId="10" fillId="4" borderId="5" xfId="0" applyFont="1" applyFill="1" applyBorder="1" applyAlignment="1">
      <alignment horizontal="right" vertical="center"/>
    </xf>
    <xf numFmtId="0" fontId="10" fillId="4" borderId="9" xfId="0" applyFont="1" applyFill="1" applyBorder="1" applyAlignment="1">
      <alignment vertical="center"/>
    </xf>
    <xf numFmtId="0" fontId="10" fillId="4" borderId="3" xfId="0" applyFont="1" applyFill="1" applyBorder="1" applyAlignment="1">
      <alignment vertical="center"/>
    </xf>
    <xf numFmtId="164" fontId="10" fillId="6" borderId="31" xfId="0" applyNumberFormat="1" applyFont="1" applyFill="1" applyBorder="1" applyAlignment="1" applyProtection="1">
      <alignment horizontal="center" vertical="center"/>
      <protection locked="0"/>
    </xf>
    <xf numFmtId="164" fontId="10" fillId="6" borderId="32" xfId="0" applyNumberFormat="1" applyFont="1" applyFill="1" applyBorder="1" applyAlignment="1" applyProtection="1">
      <alignment horizontal="center" vertical="center"/>
      <protection locked="0"/>
    </xf>
    <xf numFmtId="0" fontId="10" fillId="4" borderId="2"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25" xfId="0" applyFont="1" applyFill="1" applyBorder="1" applyAlignment="1">
      <alignment horizontal="center" vertical="center"/>
    </xf>
    <xf numFmtId="0" fontId="10" fillId="4" borderId="26" xfId="0" applyFont="1" applyFill="1" applyBorder="1" applyAlignment="1">
      <alignment horizontal="center" vertical="center"/>
    </xf>
    <xf numFmtId="2" fontId="10" fillId="6" borderId="31" xfId="0" applyNumberFormat="1" applyFont="1" applyFill="1" applyBorder="1" applyAlignment="1" applyProtection="1">
      <alignment horizontal="center" vertical="center"/>
      <protection locked="0"/>
    </xf>
    <xf numFmtId="2" fontId="10" fillId="6" borderId="32" xfId="0" applyNumberFormat="1" applyFont="1" applyFill="1" applyBorder="1" applyAlignment="1" applyProtection="1">
      <alignment horizontal="center" vertical="center"/>
      <protection locked="0"/>
    </xf>
    <xf numFmtId="0" fontId="10" fillId="4" borderId="1" xfId="0" applyFont="1" applyFill="1" applyBorder="1" applyAlignment="1">
      <alignment horizontal="right" vertical="center"/>
    </xf>
    <xf numFmtId="0" fontId="16" fillId="4" borderId="2" xfId="0" applyFont="1" applyFill="1" applyBorder="1" applyAlignment="1">
      <alignment horizontal="left" vertical="center"/>
    </xf>
    <xf numFmtId="0" fontId="16" fillId="4" borderId="7" xfId="0" applyFont="1" applyFill="1" applyBorder="1" applyAlignment="1">
      <alignment horizontal="left" vertical="center"/>
    </xf>
    <xf numFmtId="0" fontId="16" fillId="4" borderId="8" xfId="0" applyFont="1" applyFill="1" applyBorder="1" applyAlignment="1">
      <alignment horizontal="left" vertical="center"/>
    </xf>
    <xf numFmtId="0" fontId="18" fillId="4" borderId="1"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0" fillId="4" borderId="1" xfId="0" applyFont="1" applyFill="1" applyBorder="1" applyAlignment="1">
      <alignment horizontal="left" vertical="center"/>
    </xf>
    <xf numFmtId="0" fontId="10" fillId="6" borderId="1" xfId="0" applyFont="1" applyFill="1" applyBorder="1" applyAlignment="1" applyProtection="1">
      <alignment horizontal="center" vertical="center"/>
      <protection locked="0"/>
    </xf>
    <xf numFmtId="0" fontId="19" fillId="4" borderId="2" xfId="0" applyFont="1" applyFill="1" applyBorder="1" applyAlignment="1">
      <alignment horizontal="center" vertical="center"/>
    </xf>
    <xf numFmtId="0" fontId="19" fillId="4" borderId="8" xfId="0" applyFont="1" applyFill="1" applyBorder="1" applyAlignment="1">
      <alignment horizontal="center" vertical="center"/>
    </xf>
    <xf numFmtId="0" fontId="18" fillId="4" borderId="16"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8" fillId="4" borderId="2" xfId="0" applyFont="1" applyFill="1" applyBorder="1" applyAlignment="1">
      <alignment horizontal="center" vertical="center"/>
    </xf>
    <xf numFmtId="0" fontId="18" fillId="4" borderId="8" xfId="0" applyFont="1" applyFill="1" applyBorder="1" applyAlignment="1">
      <alignment horizontal="center" vertical="center"/>
    </xf>
    <xf numFmtId="0" fontId="18"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18" fillId="4" borderId="1" xfId="0" applyFont="1" applyFill="1" applyBorder="1" applyAlignment="1">
      <alignment horizontal="left" vertical="center"/>
    </xf>
    <xf numFmtId="0" fontId="12" fillId="0" borderId="34" xfId="0" applyFont="1" applyBorder="1" applyAlignment="1">
      <alignment horizontal="left" vertical="center" wrapText="1" indent="1"/>
    </xf>
    <xf numFmtId="0" fontId="2" fillId="2" borderId="13" xfId="0" applyFont="1" applyFill="1" applyBorder="1" applyAlignment="1">
      <alignment horizontal="center" vertical="center"/>
    </xf>
    <xf numFmtId="0" fontId="2" fillId="2" borderId="0" xfId="0" applyFont="1" applyFill="1" applyAlignment="1">
      <alignment horizontal="center" vertical="center"/>
    </xf>
    <xf numFmtId="0" fontId="2" fillId="2" borderId="15" xfId="0" applyFont="1" applyFill="1" applyBorder="1" applyAlignment="1">
      <alignment horizontal="center" vertical="center"/>
    </xf>
    <xf numFmtId="0" fontId="2" fillId="3" borderId="0" xfId="0" applyFont="1" applyFill="1" applyAlignment="1">
      <alignment horizontal="center"/>
    </xf>
    <xf numFmtId="0" fontId="2" fillId="3" borderId="15" xfId="0" applyFont="1" applyFill="1" applyBorder="1" applyAlignment="1">
      <alignment horizontal="center"/>
    </xf>
    <xf numFmtId="0" fontId="2" fillId="2" borderId="0" xfId="0" applyFont="1" applyFill="1" applyAlignment="1">
      <alignment horizontal="center"/>
    </xf>
    <xf numFmtId="0" fontId="2" fillId="2" borderId="15" xfId="0" applyFont="1" applyFill="1" applyBorder="1" applyAlignment="1">
      <alignment horizontal="center"/>
    </xf>
    <xf numFmtId="0" fontId="2" fillId="2" borderId="22" xfId="0" applyFont="1" applyFill="1" applyBorder="1" applyAlignment="1">
      <alignment horizontal="right"/>
    </xf>
    <xf numFmtId="0" fontId="2" fillId="2" borderId="0" xfId="0" applyFont="1" applyFill="1" applyAlignment="1">
      <alignment horizontal="right"/>
    </xf>
    <xf numFmtId="0" fontId="2" fillId="2" borderId="9" xfId="0" applyFont="1" applyFill="1" applyBorder="1" applyAlignment="1">
      <alignment horizontal="center"/>
    </xf>
    <xf numFmtId="0" fontId="2" fillId="2" borderId="3" xfId="0" applyFont="1" applyFill="1" applyBorder="1" applyAlignment="1">
      <alignment horizontal="center"/>
    </xf>
    <xf numFmtId="0" fontId="2" fillId="2" borderId="10" xfId="0" applyFont="1" applyFill="1" applyBorder="1" applyAlignment="1">
      <alignment horizontal="center"/>
    </xf>
    <xf numFmtId="0" fontId="2" fillId="2" borderId="5" xfId="0" applyFont="1" applyFill="1" applyBorder="1" applyAlignment="1">
      <alignment horizontal="center"/>
    </xf>
    <xf numFmtId="0" fontId="2" fillId="2" borderId="0" xfId="0" applyFont="1" applyFill="1" applyAlignment="1">
      <alignment horizontal="center" vertical="center" wrapText="1"/>
    </xf>
    <xf numFmtId="0" fontId="2" fillId="2" borderId="1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0" xfId="0" applyFont="1" applyFill="1" applyAlignment="1">
      <alignment horizontal="right" vertical="center" wrapText="1"/>
    </xf>
    <xf numFmtId="0" fontId="2" fillId="2" borderId="0" xfId="0" applyFont="1" applyFill="1" applyAlignment="1">
      <alignment horizontal="right" vertical="center"/>
    </xf>
    <xf numFmtId="0" fontId="2" fillId="2" borderId="27" xfId="0" applyFont="1" applyFill="1" applyBorder="1" applyAlignment="1">
      <alignment horizontal="right"/>
    </xf>
    <xf numFmtId="0" fontId="2" fillId="2" borderId="9" xfId="0" applyFont="1" applyFill="1" applyBorder="1" applyAlignment="1">
      <alignment horizontal="right"/>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1" fillId="2" borderId="0" xfId="0" applyFont="1" applyFill="1" applyAlignment="1">
      <alignment horizontal="center" vertical="center"/>
    </xf>
    <xf numFmtId="0" fontId="1" fillId="2" borderId="15"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3" xfId="0" applyFont="1" applyFill="1" applyBorder="1" applyAlignment="1">
      <alignment horizontal="center" vertical="center"/>
    </xf>
    <xf numFmtId="0" fontId="2" fillId="2" borderId="3"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2" fillId="2" borderId="29" xfId="0" applyFont="1" applyFill="1" applyBorder="1" applyAlignment="1">
      <alignment horizontal="right"/>
    </xf>
    <xf numFmtId="0" fontId="2" fillId="2" borderId="10" xfId="0" applyFont="1" applyFill="1" applyBorder="1" applyAlignment="1">
      <alignment horizontal="right"/>
    </xf>
    <xf numFmtId="0" fontId="1" fillId="2" borderId="5" xfId="0" applyFont="1" applyFill="1" applyBorder="1" applyAlignment="1">
      <alignment horizontal="center" vertical="center"/>
    </xf>
    <xf numFmtId="0" fontId="2" fillId="2" borderId="13" xfId="0" applyFont="1" applyFill="1" applyBorder="1" applyAlignment="1">
      <alignment horizontal="center" vertical="center" wrapText="1"/>
    </xf>
    <xf numFmtId="0" fontId="1" fillId="2" borderId="22"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23" xfId="0" applyFont="1" applyFill="1" applyBorder="1" applyAlignment="1">
      <alignment horizontal="left" vertical="center" wrapText="1"/>
    </xf>
    <xf numFmtId="0" fontId="28" fillId="0" borderId="0" xfId="0" applyFont="1" applyAlignment="1">
      <alignment horizontal="left"/>
    </xf>
  </cellXfs>
  <cellStyles count="6">
    <cellStyle name="Comma" xfId="1" builtinId="3"/>
    <cellStyle name="Hyperlink" xfId="5" builtinId="8"/>
    <cellStyle name="Normal" xfId="0" builtinId="0"/>
    <cellStyle name="Normal 2" xfId="4" xr:uid="{0719E15E-3AA5-4128-BB72-77C3DCEE2441}"/>
    <cellStyle name="Normal 5" xfId="3" xr:uid="{00000000-0005-0000-0000-000002000000}"/>
    <cellStyle name="Percent" xfId="2" builtinId="5"/>
  </cellStyles>
  <dxfs count="29">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3" formatCode="#,##0"/>
    </dxf>
    <dxf>
      <numFmt numFmtId="3" formatCode="#,##0"/>
    </dxf>
    <dxf>
      <fill>
        <patternFill patternType="none">
          <bgColor auto="1"/>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patternType="none">
          <bgColor auto="1"/>
        </patternFill>
      </fill>
    </dxf>
    <dxf>
      <font>
        <color auto="1"/>
      </font>
      <fill>
        <patternFill>
          <bgColor rgb="FF92D050"/>
        </patternFill>
      </fill>
    </dxf>
    <dxf>
      <font>
        <color auto="1"/>
      </font>
      <fill>
        <patternFill>
          <bgColor rgb="FFFF5050"/>
        </patternFill>
      </fill>
    </dxf>
    <dxf>
      <fill>
        <patternFill>
          <bgColor rgb="FFFF0000"/>
        </patternFill>
      </fill>
    </dxf>
    <dxf>
      <fill>
        <patternFill>
          <bgColor rgb="FF92D050"/>
        </patternFill>
      </fill>
    </dxf>
    <dxf>
      <numFmt numFmtId="164" formatCode="0.0"/>
    </dxf>
    <dxf>
      <numFmt numFmtId="164" formatCode="0.0"/>
    </dxf>
    <dxf>
      <numFmt numFmtId="2" formatCode="0.00"/>
    </dxf>
  </dxfs>
  <tableStyles count="0" defaultTableStyle="TableStyleMedium2" defaultPivotStyle="PivotStyleLight16"/>
  <colors>
    <mruColors>
      <color rgb="FFFFCCFF"/>
      <color rgb="FFFA64C8"/>
      <color rgb="FF339933"/>
      <color rgb="FF33CC33"/>
      <color rgb="FFFF5050"/>
      <color rgb="FF0033A1"/>
      <color rgb="FF3155A4"/>
      <color rgb="FF33ADF4"/>
      <color rgb="FF00CC66"/>
      <color rgb="FFFFFB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5637204754293358"/>
          <c:y val="0.23976971980898684"/>
        </c:manualLayout>
      </c:layout>
      <c:overlay val="0"/>
      <c:spPr>
        <a:noFill/>
        <a:ln>
          <a:noFill/>
        </a:ln>
        <a:effectLst/>
      </c:spPr>
      <c:txPr>
        <a:bodyPr rot="0" spcFirstLastPara="1" vertOverflow="ellipsis" vert="horz" wrap="square" anchor="ctr" anchorCtr="1"/>
        <a:lstStyle/>
        <a:p>
          <a:pPr>
            <a:defRPr sz="168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0.1793518929792576"/>
          <c:y val="0.16231171209984399"/>
          <c:w val="0.6720980475427516"/>
          <c:h val="0.55766325788651683"/>
        </c:manualLayout>
      </c:layout>
      <c:pieChart>
        <c:varyColors val="1"/>
        <c:ser>
          <c:idx val="0"/>
          <c:order val="0"/>
          <c:tx>
            <c:strRef>
              <c:f>'Financial Sustainability Work'!$G$59:$G$59</c:f>
              <c:strCache>
                <c:ptCount val="1"/>
              </c:strCache>
            </c:strRef>
          </c:tx>
          <c:dPt>
            <c:idx val="0"/>
            <c:bubble3D val="0"/>
            <c:spPr>
              <a:solidFill>
                <a:srgbClr val="00CC66"/>
              </a:solidFill>
              <a:ln>
                <a:noFill/>
              </a:ln>
              <a:effectLst/>
            </c:spPr>
            <c:extLst>
              <c:ext xmlns:c16="http://schemas.microsoft.com/office/drawing/2014/chart" uri="{C3380CC4-5D6E-409C-BE32-E72D297353CC}">
                <c16:uniqueId val="{00000001-0105-4D0B-BE73-C41704D6E037}"/>
              </c:ext>
            </c:extLst>
          </c:dPt>
          <c:dPt>
            <c:idx val="1"/>
            <c:bubble3D val="0"/>
            <c:spPr>
              <a:solidFill>
                <a:schemeClr val="accent2"/>
              </a:solidFill>
              <a:ln>
                <a:noFill/>
              </a:ln>
              <a:effectLst/>
            </c:spPr>
            <c:extLst>
              <c:ext xmlns:c16="http://schemas.microsoft.com/office/drawing/2014/chart" uri="{C3380CC4-5D6E-409C-BE32-E72D297353CC}">
                <c16:uniqueId val="{00000015-9945-43D8-90DC-26B0C221A8B3}"/>
              </c:ext>
            </c:extLst>
          </c:dPt>
          <c:dPt>
            <c:idx val="2"/>
            <c:bubble3D val="0"/>
            <c:spPr>
              <a:solidFill>
                <a:srgbClr val="944BBB"/>
              </a:solidFill>
              <a:ln>
                <a:noFill/>
              </a:ln>
              <a:effectLst/>
            </c:spPr>
            <c:extLst>
              <c:ext xmlns:c16="http://schemas.microsoft.com/office/drawing/2014/chart" uri="{C3380CC4-5D6E-409C-BE32-E72D297353CC}">
                <c16:uniqueId val="{00000003-0105-4D0B-BE73-C41704D6E037}"/>
              </c:ext>
            </c:extLst>
          </c:dPt>
          <c:dPt>
            <c:idx val="3"/>
            <c:bubble3D val="0"/>
            <c:spPr>
              <a:solidFill>
                <a:srgbClr val="33ADF4"/>
              </a:solidFill>
              <a:ln>
                <a:noFill/>
              </a:ln>
              <a:effectLst/>
            </c:spPr>
            <c:extLst>
              <c:ext xmlns:c16="http://schemas.microsoft.com/office/drawing/2014/chart" uri="{C3380CC4-5D6E-409C-BE32-E72D297353CC}">
                <c16:uniqueId val="{00000005-0105-4D0B-BE73-C41704D6E037}"/>
              </c:ext>
            </c:extLst>
          </c:dPt>
          <c:dPt>
            <c:idx val="4"/>
            <c:bubble3D val="0"/>
            <c:spPr>
              <a:solidFill>
                <a:srgbClr val="FFCCFF"/>
              </a:solidFill>
              <a:ln>
                <a:noFill/>
              </a:ln>
              <a:effectLst/>
            </c:spPr>
            <c:extLst>
              <c:ext xmlns:c16="http://schemas.microsoft.com/office/drawing/2014/chart" uri="{C3380CC4-5D6E-409C-BE32-E72D297353CC}">
                <c16:uniqueId val="{00000009-0105-4D0B-BE73-C41704D6E037}"/>
              </c:ext>
            </c:extLst>
          </c:dPt>
          <c:dPt>
            <c:idx val="5"/>
            <c:bubble3D val="0"/>
            <c:spPr>
              <a:solidFill>
                <a:schemeClr val="accent6"/>
              </a:solidFill>
              <a:ln>
                <a:noFill/>
              </a:ln>
              <a:effectLst/>
            </c:spPr>
            <c:extLst>
              <c:ext xmlns:c16="http://schemas.microsoft.com/office/drawing/2014/chart" uri="{C3380CC4-5D6E-409C-BE32-E72D297353CC}">
                <c16:uniqueId val="{0000000D-0105-4D0B-BE73-C41704D6E037}"/>
              </c:ext>
            </c:extLst>
          </c:dPt>
          <c:dPt>
            <c:idx val="6"/>
            <c:bubble3D val="0"/>
            <c:spPr>
              <a:solidFill>
                <a:schemeClr val="accent1">
                  <a:lumMod val="60000"/>
                </a:schemeClr>
              </a:solidFill>
              <a:ln>
                <a:noFill/>
              </a:ln>
              <a:effectLst/>
            </c:spPr>
            <c:extLst>
              <c:ext xmlns:c16="http://schemas.microsoft.com/office/drawing/2014/chart" uri="{C3380CC4-5D6E-409C-BE32-E72D297353CC}">
                <c16:uniqueId val="{00000011-0105-4D0B-BE73-C41704D6E037}"/>
              </c:ext>
            </c:extLst>
          </c:dPt>
          <c:dPt>
            <c:idx val="7"/>
            <c:bubble3D val="0"/>
            <c:spPr>
              <a:solidFill>
                <a:schemeClr val="accent2">
                  <a:lumMod val="60000"/>
                </a:schemeClr>
              </a:solidFill>
              <a:ln>
                <a:noFill/>
              </a:ln>
              <a:effectLst/>
            </c:spPr>
            <c:extLst>
              <c:ext xmlns:c16="http://schemas.microsoft.com/office/drawing/2014/chart" uri="{C3380CC4-5D6E-409C-BE32-E72D297353CC}">
                <c16:uniqueId val="{00000013-0105-4D0B-BE73-C41704D6E037}"/>
              </c:ext>
            </c:extLst>
          </c:dPt>
          <c:dPt>
            <c:idx val="8"/>
            <c:bubble3D val="0"/>
            <c:spPr>
              <a:solidFill>
                <a:schemeClr val="accent3">
                  <a:lumMod val="60000"/>
                </a:schemeClr>
              </a:solidFill>
              <a:ln>
                <a:noFill/>
              </a:ln>
              <a:effectLst/>
            </c:spPr>
            <c:extLst>
              <c:ext xmlns:c16="http://schemas.microsoft.com/office/drawing/2014/chart" uri="{C3380CC4-5D6E-409C-BE32-E72D297353CC}">
                <c16:uniqueId val="{00000011-2A4A-4C37-A126-9CC23097F42C}"/>
              </c:ext>
            </c:extLst>
          </c:dPt>
          <c:dPt>
            <c:idx val="9"/>
            <c:bubble3D val="0"/>
            <c:spPr>
              <a:solidFill>
                <a:schemeClr val="accent4">
                  <a:lumMod val="60000"/>
                </a:schemeClr>
              </a:solidFill>
              <a:ln>
                <a:noFill/>
              </a:ln>
              <a:effectLst/>
            </c:spPr>
            <c:extLst>
              <c:ext xmlns:c16="http://schemas.microsoft.com/office/drawing/2014/chart" uri="{C3380CC4-5D6E-409C-BE32-E72D297353CC}">
                <c16:uniqueId val="{00000013-2A4A-4C37-A126-9CC23097F42C}"/>
              </c:ext>
            </c:extLst>
          </c:dPt>
          <c:dPt>
            <c:idx val="10"/>
            <c:bubble3D val="0"/>
            <c:spPr>
              <a:solidFill>
                <a:schemeClr val="accent5">
                  <a:lumMod val="60000"/>
                </a:schemeClr>
              </a:solidFill>
              <a:ln>
                <a:noFill/>
              </a:ln>
              <a:effectLst/>
            </c:spPr>
            <c:extLst>
              <c:ext xmlns:c16="http://schemas.microsoft.com/office/drawing/2014/chart" uri="{C3380CC4-5D6E-409C-BE32-E72D297353CC}">
                <c16:uniqueId val="{00000015-2A4A-4C37-A126-9CC23097F42C}"/>
              </c:ext>
            </c:extLst>
          </c:dPt>
          <c:dPt>
            <c:idx val="11"/>
            <c:bubble3D val="0"/>
            <c:spPr>
              <a:solidFill>
                <a:schemeClr val="accent6">
                  <a:lumMod val="60000"/>
                </a:schemeClr>
              </a:solidFill>
              <a:ln>
                <a:noFill/>
              </a:ln>
              <a:effectLst/>
            </c:spPr>
            <c:extLst>
              <c:ext xmlns:c16="http://schemas.microsoft.com/office/drawing/2014/chart" uri="{C3380CC4-5D6E-409C-BE32-E72D297353CC}">
                <c16:uniqueId val="{00000017-2A4A-4C37-A126-9CC23097F42C}"/>
              </c:ext>
            </c:extLst>
          </c:dPt>
          <c:dPt>
            <c:idx val="12"/>
            <c:bubble3D val="0"/>
            <c:spPr>
              <a:solidFill>
                <a:schemeClr val="accent1">
                  <a:lumMod val="80000"/>
                  <a:lumOff val="20000"/>
                </a:schemeClr>
              </a:solidFill>
              <a:ln>
                <a:noFill/>
              </a:ln>
              <a:effectLst/>
            </c:spPr>
            <c:extLst>
              <c:ext xmlns:c16="http://schemas.microsoft.com/office/drawing/2014/chart" uri="{C3380CC4-5D6E-409C-BE32-E72D297353CC}">
                <c16:uniqueId val="{00000019-2A4A-4C37-A126-9CC23097F42C}"/>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'Financial Sustainability Work'!$H$61:$H$73</c:f>
              <c:strCache>
                <c:ptCount val="13"/>
                <c:pt idx="0">
                  <c:v>Chemicals + Testing</c:v>
                </c:pt>
                <c:pt idx="2">
                  <c:v>Commissions &amp; Salaries</c:v>
                </c:pt>
                <c:pt idx="4">
                  <c:v>Energy Costs</c:v>
                </c:pt>
                <c:pt idx="6">
                  <c:v>Maintenance</c:v>
                </c:pt>
                <c:pt idx="8">
                  <c:v>Other OpEx</c:v>
                </c:pt>
                <c:pt idx="10">
                  <c:v>Support Visits</c:v>
                </c:pt>
                <c:pt idx="12">
                  <c:v>Replacement Costs</c:v>
                </c:pt>
              </c:strCache>
            </c:strRef>
          </c:cat>
          <c:val>
            <c:numRef>
              <c:f>'Financial Sustainability Work'!$I$61:$I$73</c:f>
              <c:numCache>
                <c:formatCode>0%</c:formatCode>
                <c:ptCount val="13"/>
                <c:pt idx="0">
                  <c:v>0</c:v>
                </c:pt>
                <c:pt idx="2">
                  <c:v>0</c:v>
                </c:pt>
                <c:pt idx="4">
                  <c:v>0</c:v>
                </c:pt>
                <c:pt idx="6">
                  <c:v>0</c:v>
                </c:pt>
                <c:pt idx="8">
                  <c:v>0</c:v>
                </c:pt>
                <c:pt idx="10">
                  <c:v>0</c:v>
                </c:pt>
                <c:pt idx="12">
                  <c:v>0</c:v>
                </c:pt>
              </c:numCache>
            </c:numRef>
          </c:val>
          <c:extLst>
            <c:ext xmlns:c16="http://schemas.microsoft.com/office/drawing/2014/chart" uri="{C3380CC4-5D6E-409C-BE32-E72D297353CC}">
              <c16:uniqueId val="{00000014-0105-4D0B-BE73-C41704D6E037}"/>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5.9317151723951939E-2"/>
          <c:y val="0.74809976525600086"/>
          <c:w val="0.87854182629584376"/>
          <c:h val="0.24278201728639962"/>
        </c:manualLayout>
      </c:layout>
      <c:overlay val="0"/>
      <c:spPr>
        <a:noFill/>
        <a:ln>
          <a:noFill/>
        </a:ln>
        <a:effectLst/>
      </c:spPr>
      <c:txPr>
        <a:bodyPr rot="0" spcFirstLastPara="1" vertOverflow="ellipsis" vert="horz" wrap="square" anchor="b" anchorCtr="0"/>
        <a:lstStyle/>
        <a:p>
          <a:pPr>
            <a:defRPr sz="1000" b="0" i="0" u="none" strike="noStrike" kern="1200" baseline="0">
              <a:solidFill>
                <a:schemeClr val="tx1"/>
              </a:solidFill>
              <a:latin typeface="+mn-lt"/>
              <a:ea typeface="+mn-ea"/>
              <a:cs typeface="+mn-cs"/>
            </a:defRPr>
          </a:pPr>
          <a:endParaRPr lang="en-US"/>
        </a:p>
      </c:txPr>
    </c:legend>
    <c:plotVisOnly val="1"/>
    <c:dispBlanksAs val="zero"/>
    <c:showDLblsOverMax val="0"/>
  </c:chart>
  <c:spPr>
    <a:noFill/>
    <a:ln w="9525" cap="flat" cmpd="sng" algn="ctr">
      <a:noFill/>
      <a:prstDash val="solid"/>
      <a:round/>
    </a:ln>
    <a:effectLst/>
  </c:spPr>
  <c:txPr>
    <a:bodyPr/>
    <a:lstStyle/>
    <a:p>
      <a:pPr>
        <a:defRPr sz="1400"/>
      </a:pPr>
      <a:endParaRPr lang="en-US"/>
    </a:p>
  </c:txPr>
  <c:printSettings>
    <c:headerFooter>
      <c:oddHeader>&amp;L&amp;"-,Bold"&amp;K03+000Example Community - Safe Water Project Operational and Replacement Costs
Page 1: Financial Summary Worksheet&amp;R&amp;G</c:oddHeader>
    </c:headerFooter>
    <c:pageMargins b="0.75000000000000078" l="0.70000000000000062" r="0.70000000000000062" t="0.75000000000000078" header="0.30000000000000032" footer="0.30000000000000032"/>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5</xdr:col>
      <xdr:colOff>109904</xdr:colOff>
      <xdr:row>0</xdr:row>
      <xdr:rowOff>0</xdr:rowOff>
    </xdr:from>
    <xdr:to>
      <xdr:col>9</xdr:col>
      <xdr:colOff>161925</xdr:colOff>
      <xdr:row>19</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78</xdr:row>
      <xdr:rowOff>133350</xdr:rowOff>
    </xdr:from>
    <xdr:to>
      <xdr:col>8</xdr:col>
      <xdr:colOff>200025</xdr:colOff>
      <xdr:row>79</xdr:row>
      <xdr:rowOff>104775</xdr:rowOff>
    </xdr:to>
    <xdr:sp macro="" textlink="">
      <xdr:nvSpPr>
        <xdr:cNvPr id="4" name="TextBox 3">
          <a:extLst>
            <a:ext uri="{FF2B5EF4-FFF2-40B4-BE49-F238E27FC236}">
              <a16:creationId xmlns:a16="http://schemas.microsoft.com/office/drawing/2014/main" id="{65AC981E-9179-EA6B-5DBA-0FDAB2D408FD}"/>
            </a:ext>
          </a:extLst>
        </xdr:cNvPr>
        <xdr:cNvSpPr txBox="1"/>
      </xdr:nvSpPr>
      <xdr:spPr>
        <a:xfrm>
          <a:off x="142875" y="14897100"/>
          <a:ext cx="7524750"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1">
              <a:solidFill>
                <a:schemeClr val="dk1"/>
              </a:solidFill>
              <a:effectLst/>
              <a:latin typeface="+mn-lt"/>
              <a:ea typeface="+mn-ea"/>
              <a:cs typeface="+mn-cs"/>
            </a:rPr>
            <a:t>Copyright © Water Mission 2021 – Use of this document constitutes acceptance of Water Mission’s Terms of Use available at watermission.org/terms-of-use/.</a:t>
          </a:r>
          <a:endParaRPr lang="en-US" sz="800"/>
        </a:p>
      </xdr:txBody>
    </xdr:sp>
    <xdr:clientData/>
  </xdr:twoCellAnchor>
  <xdr:twoCellAnchor editAs="oneCell">
    <xdr:from>
      <xdr:col>7</xdr:col>
      <xdr:colOff>257175</xdr:colOff>
      <xdr:row>0</xdr:row>
      <xdr:rowOff>85725</xdr:rowOff>
    </xdr:from>
    <xdr:to>
      <xdr:col>9</xdr:col>
      <xdr:colOff>87405</xdr:colOff>
      <xdr:row>1</xdr:row>
      <xdr:rowOff>9138</xdr:rowOff>
    </xdr:to>
    <xdr:pic>
      <xdr:nvPicPr>
        <xdr:cNvPr id="5" name="Picture 4">
          <a:extLst>
            <a:ext uri="{FF2B5EF4-FFF2-40B4-BE49-F238E27FC236}">
              <a16:creationId xmlns:a16="http://schemas.microsoft.com/office/drawing/2014/main" id="{0689D93F-9BAD-46D1-B74B-E77406273640}"/>
            </a:ext>
            <a:ext uri="{147F2762-F138-4A5C-976F-8EAC2B608ADB}">
              <a16:predDERef xmlns:a16="http://schemas.microsoft.com/office/drawing/2014/main" pred="{65AC981E-9179-EA6B-5DBA-0FDAB2D408FD}"/>
            </a:ext>
          </a:extLst>
        </xdr:cNvPr>
        <xdr:cNvPicPr>
          <a:picLocks noChangeAspect="1"/>
        </xdr:cNvPicPr>
      </xdr:nvPicPr>
      <xdr:blipFill>
        <a:blip xmlns:r="http://schemas.openxmlformats.org/officeDocument/2006/relationships" r:embed="rId2"/>
        <a:stretch>
          <a:fillRect/>
        </a:stretch>
      </xdr:blipFill>
      <xdr:spPr>
        <a:xfrm>
          <a:off x="7315200" y="85725"/>
          <a:ext cx="1382805" cy="3901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20538</xdr:rowOff>
    </xdr:from>
    <xdr:to>
      <xdr:col>10</xdr:col>
      <xdr:colOff>0</xdr:colOff>
      <xdr:row>13</xdr:row>
      <xdr:rowOff>66257</xdr:rowOff>
    </xdr:to>
    <xdr:sp macro="" textlink="">
      <xdr:nvSpPr>
        <xdr:cNvPr id="7" name="Rectangle 6">
          <a:extLst>
            <a:ext uri="{FF2B5EF4-FFF2-40B4-BE49-F238E27FC236}">
              <a16:creationId xmlns:a16="http://schemas.microsoft.com/office/drawing/2014/main" id="{9A2F587D-35BF-48F1-9FC6-EFB67134F11C}"/>
            </a:ext>
          </a:extLst>
        </xdr:cNvPr>
        <xdr:cNvSpPr/>
      </xdr:nvSpPr>
      <xdr:spPr>
        <a:xfrm>
          <a:off x="33131" y="2049363"/>
          <a:ext cx="6256269"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31</xdr:row>
      <xdr:rowOff>56980</xdr:rowOff>
    </xdr:from>
    <xdr:to>
      <xdr:col>10</xdr:col>
      <xdr:colOff>0</xdr:colOff>
      <xdr:row>31</xdr:row>
      <xdr:rowOff>102699</xdr:rowOff>
    </xdr:to>
    <xdr:sp macro="" textlink="">
      <xdr:nvSpPr>
        <xdr:cNvPr id="8" name="Rectangle 7">
          <a:extLst>
            <a:ext uri="{FF2B5EF4-FFF2-40B4-BE49-F238E27FC236}">
              <a16:creationId xmlns:a16="http://schemas.microsoft.com/office/drawing/2014/main" id="{A188B5F4-08CC-499C-8196-B3152F712A6E}"/>
            </a:ext>
          </a:extLst>
        </xdr:cNvPr>
        <xdr:cNvSpPr/>
      </xdr:nvSpPr>
      <xdr:spPr>
        <a:xfrm>
          <a:off x="36442" y="4314655"/>
          <a:ext cx="6256269"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38</xdr:row>
      <xdr:rowOff>109990</xdr:rowOff>
    </xdr:from>
    <xdr:to>
      <xdr:col>10</xdr:col>
      <xdr:colOff>0</xdr:colOff>
      <xdr:row>39</xdr:row>
      <xdr:rowOff>31470</xdr:rowOff>
    </xdr:to>
    <xdr:sp macro="" textlink="">
      <xdr:nvSpPr>
        <xdr:cNvPr id="9" name="Rectangle 8">
          <a:extLst>
            <a:ext uri="{FF2B5EF4-FFF2-40B4-BE49-F238E27FC236}">
              <a16:creationId xmlns:a16="http://schemas.microsoft.com/office/drawing/2014/main" id="{BA4EC49D-BC4F-4362-9D84-D1B2C7A99038}"/>
            </a:ext>
          </a:extLst>
        </xdr:cNvPr>
        <xdr:cNvSpPr/>
      </xdr:nvSpPr>
      <xdr:spPr>
        <a:xfrm>
          <a:off x="31467" y="5729740"/>
          <a:ext cx="6256269" cy="4530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5</xdr:row>
      <xdr:rowOff>40418</xdr:rowOff>
    </xdr:from>
    <xdr:to>
      <xdr:col>10</xdr:col>
      <xdr:colOff>0</xdr:colOff>
      <xdr:row>5</xdr:row>
      <xdr:rowOff>86137</xdr:rowOff>
    </xdr:to>
    <xdr:sp macro="" textlink="">
      <xdr:nvSpPr>
        <xdr:cNvPr id="11" name="Rectangle 10">
          <a:extLst>
            <a:ext uri="{FF2B5EF4-FFF2-40B4-BE49-F238E27FC236}">
              <a16:creationId xmlns:a16="http://schemas.microsoft.com/office/drawing/2014/main" id="{C61767A6-71F2-47A6-8FF2-4663A50B6B08}"/>
            </a:ext>
          </a:extLst>
        </xdr:cNvPr>
        <xdr:cNvSpPr/>
      </xdr:nvSpPr>
      <xdr:spPr>
        <a:xfrm>
          <a:off x="36441" y="335693"/>
          <a:ext cx="6256269"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48</xdr:row>
      <xdr:rowOff>95249</xdr:rowOff>
    </xdr:from>
    <xdr:to>
      <xdr:col>10</xdr:col>
      <xdr:colOff>0</xdr:colOff>
      <xdr:row>49</xdr:row>
      <xdr:rowOff>16730</xdr:rowOff>
    </xdr:to>
    <xdr:sp macro="" textlink="">
      <xdr:nvSpPr>
        <xdr:cNvPr id="13" name="Rectangle 12">
          <a:extLst>
            <a:ext uri="{FF2B5EF4-FFF2-40B4-BE49-F238E27FC236}">
              <a16:creationId xmlns:a16="http://schemas.microsoft.com/office/drawing/2014/main" id="{750AF50C-0CD6-4F14-B2BC-6F81F5551ED9}"/>
            </a:ext>
          </a:extLst>
        </xdr:cNvPr>
        <xdr:cNvSpPr/>
      </xdr:nvSpPr>
      <xdr:spPr>
        <a:xfrm>
          <a:off x="25978" y="6572249"/>
          <a:ext cx="6516908" cy="4270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85725</xdr:colOff>
      <xdr:row>61</xdr:row>
      <xdr:rowOff>123825</xdr:rowOff>
    </xdr:from>
    <xdr:to>
      <xdr:col>8</xdr:col>
      <xdr:colOff>28575</xdr:colOff>
      <xdr:row>62</xdr:row>
      <xdr:rowOff>95250</xdr:rowOff>
    </xdr:to>
    <xdr:sp macro="" textlink="">
      <xdr:nvSpPr>
        <xdr:cNvPr id="10" name="TextBox 9">
          <a:extLst>
            <a:ext uri="{FF2B5EF4-FFF2-40B4-BE49-F238E27FC236}">
              <a16:creationId xmlns:a16="http://schemas.microsoft.com/office/drawing/2014/main" id="{3D5EB772-09F6-49AB-9B6C-C72CEE9BB663}"/>
            </a:ext>
          </a:extLst>
        </xdr:cNvPr>
        <xdr:cNvSpPr txBox="1"/>
      </xdr:nvSpPr>
      <xdr:spPr>
        <a:xfrm>
          <a:off x="85725" y="12715875"/>
          <a:ext cx="7524750"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1">
              <a:solidFill>
                <a:schemeClr val="dk1"/>
              </a:solidFill>
              <a:effectLst/>
              <a:latin typeface="+mn-lt"/>
              <a:ea typeface="+mn-ea"/>
              <a:cs typeface="+mn-cs"/>
            </a:rPr>
            <a:t>Copyright © Water Mission 2021 – Use of this document constitutes acceptance of Water Mission’s Terms of Use available at watermission.org/terms-of-use/.</a:t>
          </a:r>
          <a:endParaRPr lang="en-US" sz="800"/>
        </a:p>
      </xdr:txBody>
    </xdr:sp>
    <xdr:clientData/>
  </xdr:twoCellAnchor>
  <xdr:twoCellAnchor editAs="oneCell">
    <xdr:from>
      <xdr:col>7</xdr:col>
      <xdr:colOff>257175</xdr:colOff>
      <xdr:row>0</xdr:row>
      <xdr:rowOff>85725</xdr:rowOff>
    </xdr:from>
    <xdr:to>
      <xdr:col>8</xdr:col>
      <xdr:colOff>611280</xdr:colOff>
      <xdr:row>0</xdr:row>
      <xdr:rowOff>475863</xdr:rowOff>
    </xdr:to>
    <xdr:pic>
      <xdr:nvPicPr>
        <xdr:cNvPr id="2" name="Picture 4">
          <a:extLst>
            <a:ext uri="{FF2B5EF4-FFF2-40B4-BE49-F238E27FC236}">
              <a16:creationId xmlns:a16="http://schemas.microsoft.com/office/drawing/2014/main" id="{FF5BA15B-4C77-42EB-909E-3857F6EC783B}"/>
            </a:ext>
            <a:ext uri="{147F2762-F138-4A5C-976F-8EAC2B608ADB}">
              <a16:predDERef xmlns:a16="http://schemas.microsoft.com/office/drawing/2014/main" pred="{AC0E96D6-BF6C-4FD0-AC09-74A58DC814BB}"/>
            </a:ext>
          </a:extLst>
        </xdr:cNvPr>
        <xdr:cNvPicPr>
          <a:picLocks noChangeAspect="1"/>
        </xdr:cNvPicPr>
      </xdr:nvPicPr>
      <xdr:blipFill>
        <a:blip xmlns:r="http://schemas.openxmlformats.org/officeDocument/2006/relationships" r:embed="rId1"/>
        <a:stretch>
          <a:fillRect/>
        </a:stretch>
      </xdr:blipFill>
      <xdr:spPr>
        <a:xfrm>
          <a:off x="7315200" y="85725"/>
          <a:ext cx="1382805" cy="3901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295275</xdr:colOff>
      <xdr:row>1</xdr:row>
      <xdr:rowOff>304800</xdr:rowOff>
    </xdr:from>
    <xdr:to>
      <xdr:col>2</xdr:col>
      <xdr:colOff>1598255</xdr:colOff>
      <xdr:row>4</xdr:row>
      <xdr:rowOff>185494</xdr:rowOff>
    </xdr:to>
    <xdr:pic>
      <xdr:nvPicPr>
        <xdr:cNvPr id="2" name="Picture 1">
          <a:extLst>
            <a:ext uri="{FF2B5EF4-FFF2-40B4-BE49-F238E27FC236}">
              <a16:creationId xmlns:a16="http://schemas.microsoft.com/office/drawing/2014/main" id="{93BF6A3E-63A9-4C54-822D-F8A834C75EF7}"/>
            </a:ext>
          </a:extLst>
        </xdr:cNvPr>
        <xdr:cNvPicPr>
          <a:picLocks noChangeAspect="1"/>
        </xdr:cNvPicPr>
      </xdr:nvPicPr>
      <xdr:blipFill>
        <a:blip xmlns:r="http://schemas.openxmlformats.org/officeDocument/2006/relationships" r:embed="rId1"/>
        <a:stretch>
          <a:fillRect/>
        </a:stretch>
      </xdr:blipFill>
      <xdr:spPr>
        <a:xfrm>
          <a:off x="3924300" y="619125"/>
          <a:ext cx="1302980" cy="8236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watermission.sharepoint.com/sites/LInitiativeTechniqueRgionaleSolaireITRS/Shared%20Documents/General/Request%20Documentation/Internal%20035/Savings%20Target%20Project/Savings%20Target%20Draft%20Appendix%205.%20Financial%20Sustainability%20Worksheet%20v10.xlsx?0E0E1701" TargetMode="External"/><Relationship Id="rId1" Type="http://schemas.openxmlformats.org/officeDocument/2006/relationships/externalLinkPath" Target="file:///\\0E0E1701\Savings%20Target%20Draft%20Appendix%205.%20Financial%20Sustainability%20Worksheet%20v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ial%20Summary%20Workshee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inancial Summary Worksheet"/>
      <sheetName val="Average Inflation Rates"/>
      <sheetName val="Operational Costs (OpEx)"/>
      <sheetName val=" Capital Costs (CapEx)"/>
      <sheetName val="Repair+Replacement Costs"/>
      <sheetName val="Price Increase Schedule"/>
      <sheetName val="Financial Sustainability Plan"/>
      <sheetName val="Breakeven Analysis"/>
      <sheetName val="Revenue Analysis"/>
      <sheetName val="Data for Pie Chart"/>
      <sheetName val="Reference"/>
      <sheetName val="Cash Flow Vi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Summary Worksheet"/>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3"/>
  <sheetViews>
    <sheetView zoomScaleNormal="100" zoomScaleSheetLayoutView="90" zoomScalePageLayoutView="130" workbookViewId="0">
      <selection activeCell="B1" sqref="B1:I1"/>
    </sheetView>
  </sheetViews>
  <sheetFormatPr defaultColWidth="4" defaultRowHeight="15"/>
  <cols>
    <col min="1" max="1" width="3.42578125" style="147" customWidth="1"/>
    <col min="2" max="2" width="41.42578125" style="147" customWidth="1"/>
    <col min="3" max="3" width="11.42578125" style="147" bestFit="1" customWidth="1"/>
    <col min="4" max="4" width="15.140625" style="147" bestFit="1" customWidth="1"/>
    <col min="5" max="5" width="12.140625" style="147" bestFit="1" customWidth="1"/>
    <col min="6" max="8" width="11.140625" style="147" customWidth="1"/>
    <col min="9" max="9" width="12.140625" style="147" customWidth="1"/>
    <col min="10" max="10" width="3.42578125" style="147" customWidth="1"/>
    <col min="11" max="16384" width="4" style="117"/>
  </cols>
  <sheetData>
    <row r="1" spans="1:35" ht="36.75" customHeight="1">
      <c r="A1" s="115"/>
      <c r="B1" s="400" t="s">
        <v>0</v>
      </c>
      <c r="C1" s="400"/>
      <c r="D1" s="400"/>
      <c r="E1" s="400"/>
      <c r="F1" s="400"/>
      <c r="G1" s="400"/>
      <c r="H1" s="400"/>
      <c r="I1" s="400"/>
      <c r="J1" s="116"/>
    </row>
    <row r="2" spans="1:35" ht="15" customHeight="1">
      <c r="A2" s="118"/>
      <c r="B2" s="119"/>
      <c r="C2" s="119"/>
      <c r="D2" s="119"/>
      <c r="E2" s="119"/>
      <c r="F2" s="119"/>
      <c r="G2" s="119"/>
      <c r="H2" s="119"/>
      <c r="I2" s="119"/>
      <c r="J2" s="120"/>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row>
    <row r="3" spans="1:35" ht="15" customHeight="1">
      <c r="A3" s="122" t="s">
        <v>1</v>
      </c>
      <c r="B3" s="123"/>
      <c r="C3" s="123"/>
      <c r="D3" s="124" t="s">
        <v>2</v>
      </c>
      <c r="E3" s="124" t="s">
        <v>3</v>
      </c>
      <c r="F3" s="119"/>
      <c r="G3" s="119"/>
      <c r="H3" s="119"/>
      <c r="I3" s="119"/>
      <c r="J3" s="120"/>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row>
    <row r="4" spans="1:35" ht="15" customHeight="1">
      <c r="A4" s="118"/>
      <c r="B4" s="302" t="s">
        <v>4</v>
      </c>
      <c r="C4" s="303"/>
      <c r="D4" s="118" t="s">
        <v>5</v>
      </c>
      <c r="E4" s="126"/>
      <c r="F4" s="119"/>
      <c r="G4" s="119"/>
      <c r="H4" s="119"/>
      <c r="I4" s="119"/>
      <c r="J4" s="120"/>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row>
    <row r="5" spans="1:35" ht="15" customHeight="1">
      <c r="A5" s="118"/>
      <c r="B5" s="304" t="s">
        <v>6</v>
      </c>
      <c r="C5" s="305"/>
      <c r="D5" s="118" t="s">
        <v>7</v>
      </c>
      <c r="E5" s="129"/>
      <c r="F5" s="119"/>
      <c r="G5" s="119"/>
      <c r="H5" s="119"/>
      <c r="I5" s="119"/>
      <c r="J5" s="120"/>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row>
    <row r="6" spans="1:35" ht="15" customHeight="1">
      <c r="A6" s="118"/>
      <c r="B6" s="304" t="s">
        <v>8</v>
      </c>
      <c r="C6" s="305"/>
      <c r="D6" s="130" t="s">
        <v>7</v>
      </c>
      <c r="E6" s="131">
        <f>E4*E5</f>
        <v>0</v>
      </c>
      <c r="F6" s="119"/>
      <c r="G6" s="119"/>
      <c r="H6" s="119"/>
      <c r="I6" s="119"/>
      <c r="J6" s="120"/>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row>
    <row r="7" spans="1:35" ht="15" customHeight="1">
      <c r="A7" s="118"/>
      <c r="B7" s="304" t="s">
        <v>9</v>
      </c>
      <c r="C7" s="305"/>
      <c r="D7" s="118" t="s">
        <v>7</v>
      </c>
      <c r="E7" s="129"/>
      <c r="F7" s="119"/>
      <c r="G7" s="119"/>
      <c r="H7" s="119"/>
      <c r="I7" s="119"/>
      <c r="J7" s="120"/>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row>
    <row r="8" spans="1:35" ht="15" customHeight="1">
      <c r="A8" s="118"/>
      <c r="B8" s="304" t="s">
        <v>10</v>
      </c>
      <c r="C8" s="304"/>
      <c r="D8" s="305"/>
      <c r="E8" s="132" t="s">
        <v>11</v>
      </c>
      <c r="F8" s="119"/>
      <c r="G8" s="119"/>
      <c r="H8" s="119"/>
      <c r="I8" s="119"/>
      <c r="J8" s="120"/>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row>
    <row r="9" spans="1:35" ht="15" customHeight="1">
      <c r="A9" s="118"/>
      <c r="B9" s="304" t="s">
        <v>12</v>
      </c>
      <c r="C9" s="305"/>
      <c r="D9" s="118" t="s">
        <v>13</v>
      </c>
      <c r="E9" s="133" t="s">
        <v>14</v>
      </c>
      <c r="F9" s="119"/>
      <c r="G9" s="119"/>
      <c r="H9" s="119"/>
      <c r="I9" s="119"/>
      <c r="J9" s="120"/>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row>
    <row r="10" spans="1:35" ht="15" customHeight="1">
      <c r="A10" s="118"/>
      <c r="B10" s="304" t="s">
        <v>15</v>
      </c>
      <c r="C10" s="305"/>
      <c r="D10" s="118" t="s">
        <v>13</v>
      </c>
      <c r="E10" s="133" t="s">
        <v>16</v>
      </c>
      <c r="F10" s="119"/>
      <c r="G10" s="119"/>
      <c r="H10" s="119"/>
      <c r="I10" s="119"/>
      <c r="J10" s="120"/>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row>
    <row r="11" spans="1:35" ht="15" customHeight="1">
      <c r="A11" s="118"/>
      <c r="B11" s="304" t="s">
        <v>17</v>
      </c>
      <c r="C11" s="305"/>
      <c r="D11" s="118" t="str">
        <f>E9</f>
        <v>UGX</v>
      </c>
      <c r="E11" s="134"/>
      <c r="F11" s="119"/>
      <c r="G11" s="119"/>
      <c r="H11" s="119"/>
      <c r="I11" s="119"/>
      <c r="J11" s="120"/>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row>
    <row r="12" spans="1:35" ht="15" customHeight="1">
      <c r="A12" s="118"/>
      <c r="B12" s="304" t="s">
        <v>18</v>
      </c>
      <c r="C12" s="305"/>
      <c r="D12" s="118" t="s">
        <v>19</v>
      </c>
      <c r="E12" s="135"/>
      <c r="F12" s="119"/>
      <c r="G12" s="119"/>
      <c r="H12" s="119"/>
      <c r="I12" s="119"/>
      <c r="J12" s="120"/>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row>
    <row r="13" spans="1:35" ht="15" customHeight="1">
      <c r="A13" s="118"/>
      <c r="B13" s="304" t="s">
        <v>20</v>
      </c>
      <c r="C13" s="305"/>
      <c r="D13" s="118" t="str">
        <f>_xlfn.CONCAT(E9,"/",E10)</f>
        <v>UGX/USD</v>
      </c>
      <c r="E13" s="132">
        <v>3500</v>
      </c>
      <c r="F13" s="119"/>
      <c r="G13" s="119"/>
      <c r="H13" s="119"/>
      <c r="I13" s="119"/>
      <c r="J13" s="120"/>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row>
    <row r="14" spans="1:35" ht="15" customHeight="1">
      <c r="A14" s="118"/>
      <c r="B14" s="304" t="s">
        <v>21</v>
      </c>
      <c r="C14" s="305"/>
      <c r="D14" s="118" t="s">
        <v>22</v>
      </c>
      <c r="E14" s="136"/>
      <c r="F14" s="119"/>
      <c r="G14" s="119"/>
      <c r="H14" s="119"/>
      <c r="I14" s="119"/>
      <c r="J14" s="120"/>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row>
    <row r="15" spans="1:35" ht="15" customHeight="1">
      <c r="A15" s="118"/>
      <c r="B15" s="304" t="s">
        <v>23</v>
      </c>
      <c r="C15" s="305"/>
      <c r="D15" s="118" t="s">
        <v>24</v>
      </c>
      <c r="E15" s="135"/>
      <c r="F15" s="119"/>
      <c r="G15" s="119"/>
      <c r="H15" s="119"/>
      <c r="I15" s="119"/>
      <c r="J15" s="120"/>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row>
    <row r="16" spans="1:35" ht="15" customHeight="1">
      <c r="A16" s="118"/>
      <c r="B16" s="304" t="s">
        <v>25</v>
      </c>
      <c r="C16" s="305"/>
      <c r="D16" s="118" t="s">
        <v>24</v>
      </c>
      <c r="E16" s="135"/>
      <c r="F16" s="119"/>
      <c r="G16" s="119"/>
      <c r="H16" s="119"/>
      <c r="I16" s="119"/>
      <c r="J16" s="120"/>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row>
    <row r="17" spans="1:37" ht="15" customHeight="1">
      <c r="A17" s="118"/>
      <c r="B17" s="304" t="s">
        <v>26</v>
      </c>
      <c r="C17" s="305"/>
      <c r="D17" s="118" t="s">
        <v>24</v>
      </c>
      <c r="E17" s="137"/>
      <c r="F17" s="119"/>
      <c r="G17" s="119"/>
      <c r="H17" s="119"/>
      <c r="I17" s="119"/>
      <c r="J17" s="120"/>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row>
    <row r="18" spans="1:37" ht="15" customHeight="1">
      <c r="A18" s="118"/>
      <c r="B18" s="119"/>
      <c r="C18" s="119"/>
      <c r="D18" s="119"/>
      <c r="E18" s="138"/>
      <c r="F18" s="119"/>
      <c r="G18" s="119"/>
      <c r="H18" s="119"/>
      <c r="I18" s="119"/>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row>
    <row r="19" spans="1:37" ht="15" customHeight="1">
      <c r="A19" s="122" t="s">
        <v>27</v>
      </c>
      <c r="B19" s="123"/>
      <c r="C19" s="123"/>
      <c r="D19" s="124" t="s">
        <v>2</v>
      </c>
      <c r="E19" s="124" t="s">
        <v>3</v>
      </c>
      <c r="F19" s="119"/>
      <c r="G19" s="119"/>
      <c r="H19" s="119"/>
      <c r="I19" s="119"/>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row>
    <row r="20" spans="1:37" ht="15" customHeight="1">
      <c r="A20" s="118"/>
      <c r="B20" s="300" t="s">
        <v>28</v>
      </c>
      <c r="C20" s="318"/>
      <c r="D20" s="118" t="s">
        <v>29</v>
      </c>
      <c r="E20" s="139"/>
      <c r="F20" s="140">
        <f>E20*E4</f>
        <v>0</v>
      </c>
      <c r="G20" s="119" t="s">
        <v>30</v>
      </c>
      <c r="H20" s="119"/>
      <c r="I20" s="119"/>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row>
    <row r="21" spans="1:37" ht="15" customHeight="1">
      <c r="A21" s="118"/>
      <c r="B21" s="301" t="s">
        <v>31</v>
      </c>
      <c r="C21" s="306"/>
      <c r="D21" s="118" t="s">
        <v>32</v>
      </c>
      <c r="E21" s="141"/>
      <c r="F21" s="142">
        <f>IFERROR(E21*E5/E14, 0)</f>
        <v>0</v>
      </c>
      <c r="G21" s="119" t="s">
        <v>33</v>
      </c>
      <c r="H21" s="119"/>
      <c r="I21" s="119"/>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row>
    <row r="22" spans="1:37" ht="15" customHeight="1">
      <c r="A22" s="118"/>
      <c r="B22" s="301" t="s">
        <v>34</v>
      </c>
      <c r="C22" s="306"/>
      <c r="D22" s="118" t="s">
        <v>35</v>
      </c>
      <c r="E22" s="139"/>
      <c r="F22" s="142"/>
      <c r="G22" s="119"/>
      <c r="H22" s="119"/>
      <c r="I22" s="119"/>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row>
    <row r="23" spans="1:37" s="147" customFormat="1" ht="15" customHeight="1">
      <c r="A23" s="143"/>
      <c r="B23" s="319" t="s">
        <v>36</v>
      </c>
      <c r="C23" s="320"/>
      <c r="D23" s="118" t="s">
        <v>37</v>
      </c>
      <c r="E23" s="145">
        <f>E4*E5*E20*E21+E7*E21+IF(E8="Yes",1,0)*SUM('Additional Calculations'!H46:H48)/30.4375</f>
        <v>0</v>
      </c>
      <c r="F23" s="146" t="str">
        <f>IFERROR(E23/E14, "")</f>
        <v/>
      </c>
      <c r="G23" s="120" t="s">
        <v>38</v>
      </c>
      <c r="H23" s="119"/>
      <c r="I23" s="119"/>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row>
    <row r="24" spans="1:37" s="148" customFormat="1" ht="15" customHeight="1">
      <c r="A24" s="118"/>
      <c r="B24" s="119"/>
      <c r="C24" s="119"/>
      <c r="D24" s="119"/>
      <c r="E24" s="119"/>
      <c r="F24" s="119"/>
      <c r="G24" s="119"/>
      <c r="H24" s="119"/>
      <c r="I24" s="119"/>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row>
    <row r="25" spans="1:37" s="152" customFormat="1" ht="15" customHeight="1">
      <c r="A25" s="149"/>
      <c r="B25" s="150"/>
      <c r="C25" s="150"/>
      <c r="D25" s="151" t="s">
        <v>2</v>
      </c>
      <c r="E25" s="295" t="s">
        <v>39</v>
      </c>
      <c r="F25" s="306"/>
      <c r="G25" s="295" t="s">
        <v>40</v>
      </c>
      <c r="H25" s="296"/>
      <c r="I25" s="274" t="s">
        <v>41</v>
      </c>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row>
    <row r="26" spans="1:37" s="152" customFormat="1" ht="15" customHeight="1">
      <c r="A26" s="153" t="s">
        <v>42</v>
      </c>
      <c r="B26" s="154"/>
      <c r="C26" s="154" t="s">
        <v>43</v>
      </c>
      <c r="D26" s="155"/>
      <c r="E26" s="156" t="str">
        <f>$E$9</f>
        <v>UGX</v>
      </c>
      <c r="F26" s="157" t="str">
        <f>$E$10</f>
        <v>USD</v>
      </c>
      <c r="G26" s="156" t="str">
        <f>$E$9</f>
        <v>UGX</v>
      </c>
      <c r="H26" s="158" t="str">
        <f>$E$10</f>
        <v>USD</v>
      </c>
      <c r="I26" s="275"/>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row>
    <row r="27" spans="1:37" s="147" customFormat="1" ht="15" customHeight="1">
      <c r="A27" s="297" t="s">
        <v>44</v>
      </c>
      <c r="B27" s="144" t="s">
        <v>45</v>
      </c>
      <c r="C27" s="159" t="s">
        <v>11</v>
      </c>
      <c r="D27" s="160" t="s">
        <v>46</v>
      </c>
      <c r="E27" s="161">
        <f>F27*$E$13</f>
        <v>0</v>
      </c>
      <c r="F27" s="162">
        <f>IF(C27="Yes",'Additional Calculations'!I12,0)</f>
        <v>0</v>
      </c>
      <c r="G27" s="163">
        <f>E23*30.4375/1000*E27</f>
        <v>0</v>
      </c>
      <c r="H27" s="164">
        <f>IFERROR(G27/$E$13, 0)</f>
        <v>0</v>
      </c>
      <c r="I27" s="165">
        <f>IFERROR(G27/($G$56+$G$42), 0)</f>
        <v>0</v>
      </c>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row>
    <row r="28" spans="1:37" s="171" customFormat="1" ht="15" customHeight="1">
      <c r="A28" s="298"/>
      <c r="B28" s="119" t="s">
        <v>47</v>
      </c>
      <c r="C28" s="166" t="s">
        <v>11</v>
      </c>
      <c r="D28" s="167" t="s">
        <v>46</v>
      </c>
      <c r="E28" s="143">
        <f>IFERROR(F28*$E$13, 0)</f>
        <v>0</v>
      </c>
      <c r="F28" s="168">
        <f>IFERROR(H28/(E23*30.4375)*1000, 0)</f>
        <v>0</v>
      </c>
      <c r="G28" s="167">
        <f>IF(C28="Yes",'Additional Calculations'!J20+'Additional Calculations'!F55,0)</f>
        <v>0</v>
      </c>
      <c r="H28" s="169">
        <f>IF(C28="Yes",'Additional Calculations'!J22+'Additional Calculations'!F57,0)</f>
        <v>0</v>
      </c>
      <c r="I28" s="170">
        <f>IFERROR(G28/($G$56+$G$42), 0)</f>
        <v>0</v>
      </c>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row>
    <row r="29" spans="1:37" ht="15" customHeight="1">
      <c r="A29" s="298"/>
      <c r="B29" s="119" t="s">
        <v>48</v>
      </c>
      <c r="C29" s="166" t="s">
        <v>11</v>
      </c>
      <c r="D29" s="157" t="s">
        <v>46</v>
      </c>
      <c r="E29" s="143">
        <f>IFERROR(F29*$E$13, 0)</f>
        <v>0</v>
      </c>
      <c r="F29" s="172">
        <f>IFERROR(H29/(E23*30.4375)*1000, 0)</f>
        <v>0</v>
      </c>
      <c r="G29" s="167">
        <f>IF(C29="Yes",'Additional Calculations'!J28,0)</f>
        <v>0</v>
      </c>
      <c r="H29" s="172">
        <f>IF(C29="Yes",'Additional Calculations'!J30,0)</f>
        <v>0</v>
      </c>
      <c r="I29" s="170">
        <f>IFERROR(G29/($G$56+$G$42), 0)</f>
        <v>0</v>
      </c>
      <c r="J29" s="173"/>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row>
    <row r="30" spans="1:37" ht="15.75" customHeight="1">
      <c r="A30" s="298"/>
      <c r="B30" s="119" t="s">
        <v>49</v>
      </c>
      <c r="C30" s="174"/>
      <c r="D30" s="155" t="str">
        <f>IF(E60="Monthly household fee","/month","/m3 water")</f>
        <v>/m3 water</v>
      </c>
      <c r="E30" s="167">
        <f>IFERROR(IF(E60="Monthly household fee",E67*E4*E20*E22*SUM(E15:E17),((E15+E16+E17)*(E67*1000/E14))*E22), 0)</f>
        <v>0</v>
      </c>
      <c r="F30" s="175">
        <f>IFERROR(E30/$E$13, 0)</f>
        <v>0</v>
      </c>
      <c r="G30" s="176">
        <f>IF(E60="Monthly household fee",E30,E30*(E4*E5*E20*E21+(1-IF(E8="Yes",1,0))*E7*E21)*30/1000)</f>
        <v>0</v>
      </c>
      <c r="H30" s="177">
        <f>IFERROR(G30/$E$13, 0)</f>
        <v>0</v>
      </c>
      <c r="I30" s="178">
        <f>IFERROR(G30/($G$56+$G$42), 0)</f>
        <v>0</v>
      </c>
      <c r="J30" s="173"/>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row>
    <row r="31" spans="1:37" ht="15" customHeight="1">
      <c r="A31" s="297" t="s">
        <v>50</v>
      </c>
      <c r="B31" s="302" t="s">
        <v>51</v>
      </c>
      <c r="C31" s="303"/>
      <c r="D31" s="179" t="s">
        <v>52</v>
      </c>
      <c r="E31" s="180"/>
      <c r="F31" s="162">
        <f>IFERROR(E31/$E$13, 0)</f>
        <v>0</v>
      </c>
      <c r="G31" s="161">
        <f t="shared" ref="G31:G39" si="0">E31</f>
        <v>0</v>
      </c>
      <c r="H31" s="162">
        <f>IFERROR(G31/$E$13, 0)</f>
        <v>0</v>
      </c>
      <c r="I31" s="170">
        <f>IFERROR(G31/($G$56+$G$42), 0)</f>
        <v>0</v>
      </c>
      <c r="J31" s="173"/>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row>
    <row r="32" spans="1:37" ht="15" customHeight="1">
      <c r="A32" s="298"/>
      <c r="B32" s="304" t="s">
        <v>53</v>
      </c>
      <c r="C32" s="305"/>
      <c r="D32" s="181" t="s">
        <v>52</v>
      </c>
      <c r="E32" s="159"/>
      <c r="F32" s="172">
        <f>IFERROR(E32/$E$13, 0)</f>
        <v>0</v>
      </c>
      <c r="G32" s="143">
        <f t="shared" si="0"/>
        <v>0</v>
      </c>
      <c r="H32" s="172">
        <f>IFERROR(G32/$E$13, 0)</f>
        <v>0</v>
      </c>
      <c r="I32" s="170">
        <f t="shared" ref="I32:I38" si="1">IFERROR(G32/($G$56+$G$42), 0)</f>
        <v>0</v>
      </c>
      <c r="J32" s="173"/>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row>
    <row r="33" spans="1:35" ht="15" customHeight="1">
      <c r="A33" s="298"/>
      <c r="B33" s="304" t="s">
        <v>54</v>
      </c>
      <c r="C33" s="305"/>
      <c r="D33" s="181" t="s">
        <v>52</v>
      </c>
      <c r="E33" s="159"/>
      <c r="F33" s="172">
        <f t="shared" ref="F33:F38" si="2">IFERROR(E33/$E$13, 0)</f>
        <v>0</v>
      </c>
      <c r="G33" s="143">
        <f t="shared" si="0"/>
        <v>0</v>
      </c>
      <c r="H33" s="172">
        <f t="shared" ref="H33:H38" si="3">IFERROR(G33/$E$13, 0)</f>
        <v>0</v>
      </c>
      <c r="I33" s="170">
        <f t="shared" si="1"/>
        <v>0</v>
      </c>
      <c r="J33" s="173"/>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row>
    <row r="34" spans="1:35" ht="15" customHeight="1">
      <c r="A34" s="298"/>
      <c r="B34" s="304" t="s">
        <v>55</v>
      </c>
      <c r="C34" s="305"/>
      <c r="D34" s="181" t="s">
        <v>52</v>
      </c>
      <c r="E34" s="159"/>
      <c r="F34" s="172">
        <f t="shared" si="2"/>
        <v>0</v>
      </c>
      <c r="G34" s="143">
        <f t="shared" si="0"/>
        <v>0</v>
      </c>
      <c r="H34" s="172">
        <f t="shared" si="3"/>
        <v>0</v>
      </c>
      <c r="I34" s="170">
        <f t="shared" si="1"/>
        <v>0</v>
      </c>
      <c r="J34" s="173"/>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row>
    <row r="35" spans="1:35" ht="15" customHeight="1">
      <c r="A35" s="298"/>
      <c r="B35" s="304" t="s">
        <v>56</v>
      </c>
      <c r="C35" s="305"/>
      <c r="D35" s="181" t="s">
        <v>52</v>
      </c>
      <c r="E35" s="159"/>
      <c r="F35" s="172">
        <f t="shared" si="2"/>
        <v>0</v>
      </c>
      <c r="G35" s="143">
        <f t="shared" si="0"/>
        <v>0</v>
      </c>
      <c r="H35" s="172">
        <f t="shared" si="3"/>
        <v>0</v>
      </c>
      <c r="I35" s="170">
        <f t="shared" si="1"/>
        <v>0</v>
      </c>
      <c r="J35" s="173"/>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row>
    <row r="36" spans="1:35" ht="15" customHeight="1">
      <c r="A36" s="298"/>
      <c r="B36" s="304" t="s">
        <v>57</v>
      </c>
      <c r="C36" s="305"/>
      <c r="D36" s="181" t="s">
        <v>52</v>
      </c>
      <c r="E36" s="159"/>
      <c r="F36" s="172">
        <f t="shared" si="2"/>
        <v>0</v>
      </c>
      <c r="G36" s="143">
        <f t="shared" si="0"/>
        <v>0</v>
      </c>
      <c r="H36" s="172">
        <f t="shared" si="3"/>
        <v>0</v>
      </c>
      <c r="I36" s="170">
        <f t="shared" si="1"/>
        <v>0</v>
      </c>
      <c r="J36" s="173"/>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row>
    <row r="37" spans="1:35" ht="15" customHeight="1">
      <c r="A37" s="298"/>
      <c r="B37" s="127" t="s">
        <v>58</v>
      </c>
      <c r="C37" s="128"/>
      <c r="D37" s="181" t="s">
        <v>52</v>
      </c>
      <c r="E37" s="159"/>
      <c r="F37" s="172">
        <f t="shared" si="2"/>
        <v>0</v>
      </c>
      <c r="G37" s="143">
        <f t="shared" si="0"/>
        <v>0</v>
      </c>
      <c r="H37" s="172">
        <f t="shared" si="3"/>
        <v>0</v>
      </c>
      <c r="I37" s="170">
        <f t="shared" si="1"/>
        <v>0</v>
      </c>
      <c r="J37" s="173"/>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row>
    <row r="38" spans="1:35" ht="15" customHeight="1">
      <c r="A38" s="298"/>
      <c r="B38" s="119" t="s">
        <v>59</v>
      </c>
      <c r="C38" s="166" t="s">
        <v>11</v>
      </c>
      <c r="D38" s="182" t="s">
        <v>52</v>
      </c>
      <c r="E38" s="167">
        <f>IF(C38="Yes",'Additional Calculations'!I36,0)</f>
        <v>0</v>
      </c>
      <c r="F38" s="172">
        <f t="shared" si="2"/>
        <v>0</v>
      </c>
      <c r="G38" s="143">
        <f t="shared" si="0"/>
        <v>0</v>
      </c>
      <c r="H38" s="172">
        <f t="shared" si="3"/>
        <v>0</v>
      </c>
      <c r="I38" s="170">
        <f t="shared" si="1"/>
        <v>0</v>
      </c>
      <c r="J38" s="173"/>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row>
    <row r="39" spans="1:35" ht="15" customHeight="1">
      <c r="A39" s="299"/>
      <c r="B39" s="329" t="s">
        <v>60</v>
      </c>
      <c r="C39" s="330"/>
      <c r="D39" s="155" t="s">
        <v>52</v>
      </c>
      <c r="E39" s="185"/>
      <c r="F39" s="177">
        <f>IFERROR(E39/$E$13, 0)</f>
        <v>0</v>
      </c>
      <c r="G39" s="176">
        <f t="shared" si="0"/>
        <v>0</v>
      </c>
      <c r="H39" s="177">
        <f>IFERROR(G39/$E$13, 0)</f>
        <v>0</v>
      </c>
      <c r="I39" s="178">
        <f>IFERROR(G39/($G$56+$G$42), 0)</f>
        <v>0</v>
      </c>
      <c r="J39" s="173"/>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row>
    <row r="40" spans="1:35" ht="15" customHeight="1">
      <c r="A40" s="115"/>
      <c r="B40" s="300"/>
      <c r="C40" s="300"/>
      <c r="D40" s="300"/>
      <c r="E40" s="277" t="s">
        <v>61</v>
      </c>
      <c r="F40" s="278"/>
      <c r="G40" s="161">
        <f>SUM(G27:G30)</f>
        <v>0</v>
      </c>
      <c r="H40" s="162">
        <f>SUM(H27:H30)</f>
        <v>0</v>
      </c>
      <c r="I40" s="165">
        <f>IFERROR(G40/($G$56+$G$42), 0)</f>
        <v>0</v>
      </c>
      <c r="J40" s="173"/>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row>
    <row r="41" spans="1:35" ht="15" customHeight="1">
      <c r="A41" s="118"/>
      <c r="B41" s="301"/>
      <c r="C41" s="301"/>
      <c r="D41" s="301"/>
      <c r="E41" s="279" t="s">
        <v>62</v>
      </c>
      <c r="F41" s="280"/>
      <c r="G41" s="176">
        <f>SUM(G31:G39)</f>
        <v>0</v>
      </c>
      <c r="H41" s="177">
        <f>SUM(H31:H37)+H39</f>
        <v>0</v>
      </c>
      <c r="I41" s="178">
        <f>IFERROR(G41/($G$56+$G$42), 0)</f>
        <v>0</v>
      </c>
      <c r="J41" s="173"/>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row>
    <row r="42" spans="1:35">
      <c r="A42" s="186"/>
      <c r="B42" s="279" t="s">
        <v>63</v>
      </c>
      <c r="C42" s="279"/>
      <c r="D42" s="279"/>
      <c r="E42" s="279"/>
      <c r="F42" s="280"/>
      <c r="G42" s="143">
        <f t="shared" ref="G42:H42" si="4">G41+G40</f>
        <v>0</v>
      </c>
      <c r="H42" s="172">
        <f t="shared" si="4"/>
        <v>0</v>
      </c>
      <c r="I42" s="165">
        <f>IFERROR(G42/($G$56+$G$42), 0)</f>
        <v>0</v>
      </c>
      <c r="J42" s="173"/>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row>
    <row r="43" spans="1:35" ht="15" customHeight="1">
      <c r="A43" s="118"/>
      <c r="B43" s="119"/>
      <c r="C43" s="119"/>
      <c r="D43" s="119"/>
      <c r="E43" s="119"/>
      <c r="F43" s="119"/>
      <c r="G43" s="119"/>
      <c r="H43" s="119"/>
      <c r="I43" s="119"/>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row>
    <row r="44" spans="1:35" ht="15" customHeight="1">
      <c r="A44" s="118"/>
      <c r="B44" s="187"/>
      <c r="C44" s="188"/>
      <c r="D44" s="312" t="s">
        <v>64</v>
      </c>
      <c r="E44" s="295" t="s">
        <v>65</v>
      </c>
      <c r="F44" s="296"/>
      <c r="G44" s="295" t="s">
        <v>40</v>
      </c>
      <c r="H44" s="296"/>
      <c r="I44" s="274" t="s">
        <v>41</v>
      </c>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row>
    <row r="45" spans="1:35" ht="15" customHeight="1">
      <c r="A45" s="122" t="s">
        <v>66</v>
      </c>
      <c r="B45" s="123"/>
      <c r="C45" s="189"/>
      <c r="D45" s="313"/>
      <c r="E45" s="156" t="str">
        <f>$E$9</f>
        <v>UGX</v>
      </c>
      <c r="F45" s="190" t="str">
        <f>$E$10</f>
        <v>USD</v>
      </c>
      <c r="G45" s="156" t="str">
        <f>$E$9</f>
        <v>UGX</v>
      </c>
      <c r="H45" s="190" t="str">
        <f>$E$10</f>
        <v>USD</v>
      </c>
      <c r="I45" s="275"/>
      <c r="J45" s="182"/>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row>
    <row r="46" spans="1:35" ht="15" customHeight="1">
      <c r="A46" s="118"/>
      <c r="B46" s="119" t="s">
        <v>67</v>
      </c>
      <c r="C46" s="119"/>
      <c r="D46" s="133"/>
      <c r="E46" s="191"/>
      <c r="F46" s="192">
        <f>IFERROR(E46/$E$13, 0)</f>
        <v>0</v>
      </c>
      <c r="G46" s="161">
        <f>IFERROR(E46*(1^D46)/(D46*12), 0)</f>
        <v>0</v>
      </c>
      <c r="H46" s="172">
        <f>IFERROR(G46/$E$13, 0)</f>
        <v>0</v>
      </c>
      <c r="I46" s="165">
        <f>IFERROR(G46/($G$56+$G$42), 0)</f>
        <v>0</v>
      </c>
      <c r="J46" s="173"/>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row>
    <row r="47" spans="1:35" ht="15" customHeight="1">
      <c r="A47" s="118"/>
      <c r="B47" s="119" t="s">
        <v>68</v>
      </c>
      <c r="C47" s="119"/>
      <c r="D47" s="133"/>
      <c r="E47" s="191"/>
      <c r="F47" s="192">
        <f>IFERROR(E47/$E$13, 0)</f>
        <v>0</v>
      </c>
      <c r="G47" s="143">
        <f t="shared" ref="G47:G55" si="5">IFERROR(E47*(1^D47)/(D47*12), 0)</f>
        <v>0</v>
      </c>
      <c r="H47" s="172">
        <f>IFERROR(G47/$E$13, 0)</f>
        <v>0</v>
      </c>
      <c r="I47" s="170">
        <f t="shared" ref="I47:I54" si="6">IFERROR(G47/($G$56+$G$42), 0)</f>
        <v>0</v>
      </c>
      <c r="J47" s="173"/>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row>
    <row r="48" spans="1:35" ht="15" customHeight="1">
      <c r="A48" s="118"/>
      <c r="B48" s="119" t="s">
        <v>69</v>
      </c>
      <c r="C48" s="119"/>
      <c r="D48" s="133"/>
      <c r="E48" s="191"/>
      <c r="F48" s="192">
        <f t="shared" ref="F48:F54" si="7">IFERROR(E48/$E$13, 0)</f>
        <v>0</v>
      </c>
      <c r="G48" s="143">
        <f t="shared" si="5"/>
        <v>0</v>
      </c>
      <c r="H48" s="172">
        <f t="shared" ref="H48:H55" si="8">IFERROR(G48/$E$13, 0)</f>
        <v>0</v>
      </c>
      <c r="I48" s="170">
        <f t="shared" si="6"/>
        <v>0</v>
      </c>
      <c r="J48" s="173"/>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row>
    <row r="49" spans="1:35" ht="15" customHeight="1">
      <c r="A49" s="118"/>
      <c r="B49" s="119" t="s">
        <v>70</v>
      </c>
      <c r="C49" s="119"/>
      <c r="D49" s="133"/>
      <c r="E49" s="191"/>
      <c r="F49" s="192">
        <f t="shared" si="7"/>
        <v>0</v>
      </c>
      <c r="G49" s="143">
        <f t="shared" si="5"/>
        <v>0</v>
      </c>
      <c r="H49" s="172">
        <f t="shared" si="8"/>
        <v>0</v>
      </c>
      <c r="I49" s="170">
        <f t="shared" si="6"/>
        <v>0</v>
      </c>
      <c r="J49" s="173"/>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row>
    <row r="50" spans="1:35" ht="15" customHeight="1">
      <c r="A50" s="118"/>
      <c r="B50" s="119" t="s">
        <v>71</v>
      </c>
      <c r="C50" s="119"/>
      <c r="D50" s="133"/>
      <c r="E50" s="191"/>
      <c r="F50" s="192">
        <f t="shared" si="7"/>
        <v>0</v>
      </c>
      <c r="G50" s="143">
        <f t="shared" si="5"/>
        <v>0</v>
      </c>
      <c r="H50" s="172">
        <f t="shared" si="8"/>
        <v>0</v>
      </c>
      <c r="I50" s="170">
        <f t="shared" si="6"/>
        <v>0</v>
      </c>
      <c r="J50" s="173"/>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row>
    <row r="51" spans="1:35" ht="15" customHeight="1">
      <c r="A51" s="118"/>
      <c r="B51" s="119" t="s">
        <v>72</v>
      </c>
      <c r="C51" s="119"/>
      <c r="D51" s="133"/>
      <c r="E51" s="191"/>
      <c r="F51" s="192">
        <f t="shared" si="7"/>
        <v>0</v>
      </c>
      <c r="G51" s="143">
        <f t="shared" si="5"/>
        <v>0</v>
      </c>
      <c r="H51" s="172">
        <f t="shared" si="8"/>
        <v>0</v>
      </c>
      <c r="I51" s="170">
        <f t="shared" si="6"/>
        <v>0</v>
      </c>
      <c r="J51" s="173"/>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row>
    <row r="52" spans="1:35" ht="15" customHeight="1">
      <c r="A52" s="118"/>
      <c r="B52" s="119" t="s">
        <v>73</v>
      </c>
      <c r="C52" s="119"/>
      <c r="D52" s="133"/>
      <c r="E52" s="191"/>
      <c r="F52" s="192">
        <f t="shared" si="7"/>
        <v>0</v>
      </c>
      <c r="G52" s="143">
        <f t="shared" si="5"/>
        <v>0</v>
      </c>
      <c r="H52" s="172">
        <f t="shared" si="8"/>
        <v>0</v>
      </c>
      <c r="I52" s="170">
        <f t="shared" si="6"/>
        <v>0</v>
      </c>
      <c r="J52" s="173"/>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row>
    <row r="53" spans="1:35" ht="15" customHeight="1">
      <c r="A53" s="118"/>
      <c r="B53" s="119" t="s">
        <v>74</v>
      </c>
      <c r="C53" s="119"/>
      <c r="D53" s="133"/>
      <c r="E53" s="191"/>
      <c r="F53" s="192">
        <f t="shared" si="7"/>
        <v>0</v>
      </c>
      <c r="G53" s="143">
        <f t="shared" si="5"/>
        <v>0</v>
      </c>
      <c r="H53" s="172">
        <f t="shared" si="8"/>
        <v>0</v>
      </c>
      <c r="I53" s="170">
        <f t="shared" si="6"/>
        <v>0</v>
      </c>
      <c r="J53" s="173"/>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row>
    <row r="54" spans="1:35" ht="15" customHeight="1">
      <c r="A54" s="118"/>
      <c r="B54" s="119" t="s">
        <v>75</v>
      </c>
      <c r="C54" s="119"/>
      <c r="D54" s="133"/>
      <c r="E54" s="191"/>
      <c r="F54" s="192">
        <f t="shared" si="7"/>
        <v>0</v>
      </c>
      <c r="G54" s="143">
        <f t="shared" si="5"/>
        <v>0</v>
      </c>
      <c r="H54" s="172">
        <f t="shared" si="8"/>
        <v>0</v>
      </c>
      <c r="I54" s="170">
        <f t="shared" si="6"/>
        <v>0</v>
      </c>
      <c r="J54" s="173"/>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row>
    <row r="55" spans="1:35" ht="15" customHeight="1">
      <c r="A55" s="193"/>
      <c r="B55" s="123" t="s">
        <v>76</v>
      </c>
      <c r="C55" s="123"/>
      <c r="D55" s="194"/>
      <c r="E55" s="191"/>
      <c r="F55" s="192">
        <f>IFERROR(E55/$E$13, 0)</f>
        <v>0</v>
      </c>
      <c r="G55" s="176">
        <f t="shared" si="5"/>
        <v>0</v>
      </c>
      <c r="H55" s="177">
        <f t="shared" si="8"/>
        <v>0</v>
      </c>
      <c r="I55" s="178">
        <f>IFERROR(G55/($G$56+$G$42), 0)</f>
        <v>0</v>
      </c>
      <c r="J55" s="173"/>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row>
    <row r="56" spans="1:35" ht="15" customHeight="1">
      <c r="A56" s="118"/>
      <c r="B56" s="277" t="s">
        <v>77</v>
      </c>
      <c r="C56" s="277"/>
      <c r="D56" s="278"/>
      <c r="E56" s="161">
        <f>SUM(E46:E55)</f>
        <v>0</v>
      </c>
      <c r="F56" s="195">
        <f>IFERROR(SUM(F46:F55), 0)</f>
        <v>0</v>
      </c>
      <c r="G56" s="143">
        <f>SUM(G46:G55)+G38</f>
        <v>0</v>
      </c>
      <c r="H56" s="172">
        <f>SUM(H46:H55)+H38</f>
        <v>0</v>
      </c>
      <c r="I56" s="165">
        <f>IFERROR(G56/($G$56+$G$42), 0)</f>
        <v>0</v>
      </c>
      <c r="J56" s="173"/>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row>
    <row r="57" spans="1:35" ht="15" customHeight="1">
      <c r="A57" s="118"/>
      <c r="B57" s="127"/>
      <c r="C57" s="127"/>
      <c r="D57" s="285"/>
      <c r="E57" s="285"/>
      <c r="F57" s="285"/>
      <c r="G57" s="167"/>
      <c r="H57" s="175"/>
      <c r="I57" s="138"/>
      <c r="J57" s="173"/>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row>
    <row r="58" spans="1:35" ht="15" customHeight="1">
      <c r="A58" s="118"/>
      <c r="B58" s="119"/>
      <c r="C58" s="119"/>
      <c r="D58" s="119"/>
      <c r="E58" s="119"/>
      <c r="F58" s="119"/>
      <c r="G58" s="119"/>
      <c r="H58" s="119"/>
      <c r="I58" s="119"/>
      <c r="J58" s="120"/>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row>
    <row r="59" spans="1:35" ht="15" customHeight="1">
      <c r="A59" s="122" t="s">
        <v>78</v>
      </c>
      <c r="B59" s="123"/>
      <c r="C59" s="123"/>
      <c r="D59" s="124" t="s">
        <v>2</v>
      </c>
      <c r="E59" s="155" t="str">
        <f>$E$9</f>
        <v>UGX</v>
      </c>
      <c r="F59" s="155" t="str">
        <f>$E$10</f>
        <v>USD</v>
      </c>
      <c r="G59" s="174"/>
      <c r="H59" s="307" t="s">
        <v>79</v>
      </c>
      <c r="I59" s="307" t="s">
        <v>80</v>
      </c>
      <c r="J59" s="196"/>
      <c r="K59" s="121"/>
      <c r="L59" s="121"/>
      <c r="O59" s="121"/>
      <c r="P59" s="121"/>
      <c r="Q59" s="121"/>
      <c r="R59" s="121"/>
      <c r="S59" s="121"/>
      <c r="T59" s="121"/>
      <c r="U59" s="121"/>
      <c r="V59" s="121"/>
      <c r="W59" s="121"/>
      <c r="X59" s="121"/>
      <c r="Y59" s="121"/>
      <c r="Z59" s="121"/>
      <c r="AA59" s="121"/>
      <c r="AB59" s="121"/>
      <c r="AC59" s="121"/>
      <c r="AD59" s="121"/>
      <c r="AE59" s="121"/>
      <c r="AF59" s="121"/>
      <c r="AG59" s="121"/>
      <c r="AH59" s="121"/>
      <c r="AI59" s="121"/>
    </row>
    <row r="60" spans="1:35" ht="15" customHeight="1">
      <c r="A60" s="118"/>
      <c r="B60" s="308" t="s">
        <v>81</v>
      </c>
      <c r="C60" s="309"/>
      <c r="D60" s="179" t="str">
        <f>IF(E60="Monthly household fee","/HH/month","/container")</f>
        <v>/container</v>
      </c>
      <c r="E60" s="310" t="s">
        <v>82</v>
      </c>
      <c r="F60" s="311"/>
      <c r="G60" s="174"/>
      <c r="H60" s="307"/>
      <c r="I60" s="307"/>
      <c r="J60" s="197"/>
      <c r="K60" s="121"/>
      <c r="L60" s="121"/>
      <c r="O60" s="121"/>
      <c r="P60" s="121"/>
      <c r="Q60" s="121"/>
      <c r="R60" s="121"/>
      <c r="S60" s="121"/>
      <c r="T60" s="121"/>
      <c r="U60" s="121"/>
      <c r="V60" s="121"/>
      <c r="W60" s="121"/>
      <c r="X60" s="121"/>
      <c r="Y60" s="121"/>
      <c r="Z60" s="121"/>
      <c r="AA60" s="121"/>
      <c r="AB60" s="121"/>
      <c r="AC60" s="121"/>
      <c r="AD60" s="121"/>
      <c r="AE60" s="121"/>
      <c r="AF60" s="121"/>
      <c r="AG60" s="121"/>
      <c r="AH60" s="121"/>
      <c r="AI60" s="121"/>
    </row>
    <row r="61" spans="1:35" ht="15" customHeight="1">
      <c r="A61" s="118"/>
      <c r="B61" s="300" t="str">
        <f>IF(E60="Monthly household fee","Recommended max water fee","Recommended max water price")</f>
        <v>Recommended max water price</v>
      </c>
      <c r="C61" s="318"/>
      <c r="D61" s="286" t="str">
        <f>IF(E60="Monthly household fee","/HH/month","/container")</f>
        <v>/container</v>
      </c>
      <c r="E61" s="291">
        <f>IFERROR(IF(E60="Monthly household fee",$E$12*$E$11,$E$12*$E$11/(($E$21*$E$5*30)/$E$14)), 0)</f>
        <v>0</v>
      </c>
      <c r="F61" s="289">
        <f>IF(E60="Monthly household fee",E61/$E$13,0)</f>
        <v>0</v>
      </c>
      <c r="G61" s="174"/>
      <c r="H61" s="288" t="s">
        <v>83</v>
      </c>
      <c r="I61" s="272">
        <f>'Financial Sustainability Work'!I27+'Financial Sustainability Work'!I33</f>
        <v>0</v>
      </c>
      <c r="J61" s="197"/>
      <c r="K61" s="121"/>
      <c r="L61" s="121"/>
      <c r="O61" s="121"/>
      <c r="P61" s="121"/>
      <c r="Q61" s="121"/>
      <c r="R61" s="121"/>
      <c r="S61" s="121"/>
      <c r="T61" s="121"/>
      <c r="U61" s="121"/>
      <c r="V61" s="121"/>
      <c r="W61" s="121"/>
      <c r="X61" s="121"/>
      <c r="Y61" s="121"/>
      <c r="Z61" s="121"/>
      <c r="AA61" s="121"/>
      <c r="AB61" s="121"/>
      <c r="AC61" s="121"/>
      <c r="AD61" s="121"/>
      <c r="AE61" s="121"/>
      <c r="AF61" s="121"/>
      <c r="AG61" s="121"/>
      <c r="AH61" s="121"/>
      <c r="AI61" s="121"/>
    </row>
    <row r="62" spans="1:35" ht="15" customHeight="1">
      <c r="A62" s="118"/>
      <c r="B62" s="321"/>
      <c r="C62" s="322"/>
      <c r="D62" s="287"/>
      <c r="E62" s="292"/>
      <c r="F62" s="290"/>
      <c r="G62" s="174"/>
      <c r="H62" s="288"/>
      <c r="I62" s="273"/>
      <c r="J62" s="198"/>
      <c r="K62" s="121"/>
      <c r="L62" s="121"/>
      <c r="O62" s="121"/>
      <c r="P62" s="121"/>
      <c r="Q62" s="121"/>
      <c r="R62" s="121"/>
      <c r="S62" s="121"/>
      <c r="T62" s="121"/>
      <c r="U62" s="121"/>
      <c r="V62" s="121"/>
      <c r="W62" s="121"/>
      <c r="X62" s="121"/>
      <c r="Y62" s="121"/>
      <c r="Z62" s="121"/>
      <c r="AA62" s="121"/>
      <c r="AB62" s="121"/>
      <c r="AC62" s="121"/>
      <c r="AD62" s="121"/>
      <c r="AE62" s="121"/>
      <c r="AF62" s="121"/>
      <c r="AG62" s="121"/>
      <c r="AH62" s="121"/>
      <c r="AI62" s="121"/>
    </row>
    <row r="63" spans="1:35" ht="15" customHeight="1">
      <c r="A63" s="118"/>
      <c r="B63" s="300" t="s">
        <v>84</v>
      </c>
      <c r="C63" s="318"/>
      <c r="D63" s="286" t="str">
        <f>IF(E60="Monthly household fee","/HH/month","/container")</f>
        <v>/container</v>
      </c>
      <c r="E63" s="291">
        <f>IFERROR(IF(E60="Monthly household fee",(G42-IF(E8="Yes", SUM('Additional Calculations'!$F$46:$F$48), 0))/F20/E22,(G42-IF(E8="Yes", SUM('Additional Calculations'!$F$46:$F$48), 0))/((E4*E5*E20*E21+(1-IF(E8="Yes",1,0))*E7*E21)/E14*30.4375)/E22), 0)</f>
        <v>0</v>
      </c>
      <c r="F63" s="289">
        <f>IF(E60="Monthly household fee",E63/E13,0)</f>
        <v>0</v>
      </c>
      <c r="G63" s="174"/>
      <c r="H63" s="288" t="s">
        <v>85</v>
      </c>
      <c r="I63" s="272">
        <f>'Financial Sustainability Work'!I30+'Financial Sustainability Work'!I31</f>
        <v>0</v>
      </c>
      <c r="J63" s="199"/>
      <c r="K63" s="121"/>
      <c r="L63" s="121"/>
      <c r="O63" s="121"/>
      <c r="P63" s="121"/>
      <c r="Q63" s="121"/>
      <c r="R63" s="121"/>
      <c r="S63" s="121"/>
      <c r="T63" s="121"/>
      <c r="U63" s="121"/>
      <c r="V63" s="121"/>
      <c r="W63" s="121"/>
      <c r="X63" s="121"/>
      <c r="Y63" s="121"/>
      <c r="Z63" s="121"/>
      <c r="AA63" s="121"/>
      <c r="AB63" s="121"/>
      <c r="AC63" s="121"/>
      <c r="AD63" s="121"/>
      <c r="AE63" s="121"/>
      <c r="AF63" s="121"/>
      <c r="AG63" s="121"/>
      <c r="AH63" s="121"/>
      <c r="AI63" s="121"/>
    </row>
    <row r="64" spans="1:35" ht="15" customHeight="1">
      <c r="A64" s="118"/>
      <c r="B64" s="321"/>
      <c r="C64" s="322"/>
      <c r="D64" s="287"/>
      <c r="E64" s="292"/>
      <c r="F64" s="290"/>
      <c r="G64" s="174"/>
      <c r="H64" s="288"/>
      <c r="I64" s="273"/>
      <c r="J64" s="199"/>
      <c r="K64" s="121"/>
      <c r="L64" s="121"/>
      <c r="O64" s="121"/>
      <c r="P64" s="121"/>
      <c r="Q64" s="121"/>
      <c r="R64" s="121"/>
      <c r="S64" s="121"/>
      <c r="T64" s="121"/>
      <c r="U64" s="121"/>
      <c r="V64" s="121"/>
      <c r="W64" s="121"/>
      <c r="X64" s="121"/>
      <c r="Y64" s="121"/>
      <c r="Z64" s="121"/>
      <c r="AA64" s="121"/>
      <c r="AB64" s="121"/>
      <c r="AC64" s="121"/>
      <c r="AD64" s="121"/>
      <c r="AE64" s="121"/>
      <c r="AF64" s="121"/>
      <c r="AG64" s="121"/>
      <c r="AH64" s="121"/>
      <c r="AI64" s="121"/>
    </row>
    <row r="65" spans="1:35" ht="15" customHeight="1">
      <c r="A65" s="118"/>
      <c r="B65" s="300" t="s">
        <v>86</v>
      </c>
      <c r="C65" s="318"/>
      <c r="D65" s="286" t="str">
        <f>IF(E60="Monthly household fee","/HH/month","/container")</f>
        <v>/container</v>
      </c>
      <c r="E65" s="291">
        <f>IFERROR(IF(E60="Monthly household fee",((G42-IF(E8="Yes", SUM('Additional Calculations'!$F$46:$F$48), 0))+G56)/(E4*E20)/E22,((G42-IF(E8="Yes", SUM('Additional Calculations'!$F$46:$F$48), 0))+G56)/((E4*E5*E20*E21+(1-IF(E8="Yes",1,0))*E7*E21)/E14*30.4375)/E22), 0)</f>
        <v>0</v>
      </c>
      <c r="F65" s="289">
        <f>IFERROR(E65/E13, 0)</f>
        <v>0</v>
      </c>
      <c r="G65" s="174"/>
      <c r="H65" s="288" t="s">
        <v>87</v>
      </c>
      <c r="I65" s="272">
        <f>'Financial Sustainability Work'!I28+'Financial Sustainability Work'!I29</f>
        <v>0</v>
      </c>
      <c r="J65" s="199"/>
      <c r="K65" s="121"/>
      <c r="L65" s="121"/>
      <c r="O65" s="121"/>
      <c r="P65" s="121"/>
      <c r="V65" s="121"/>
      <c r="W65" s="121"/>
      <c r="X65" s="121"/>
      <c r="Y65" s="121"/>
      <c r="Z65" s="121"/>
      <c r="AA65" s="121"/>
      <c r="AB65" s="121"/>
      <c r="AC65" s="121"/>
      <c r="AD65" s="121"/>
      <c r="AE65" s="121"/>
      <c r="AF65" s="121"/>
      <c r="AG65" s="121"/>
      <c r="AH65" s="121"/>
      <c r="AI65" s="121"/>
    </row>
    <row r="66" spans="1:35" ht="15" customHeight="1">
      <c r="A66" s="118"/>
      <c r="B66" s="321"/>
      <c r="C66" s="322"/>
      <c r="D66" s="287"/>
      <c r="E66" s="292"/>
      <c r="F66" s="290"/>
      <c r="G66" s="174"/>
      <c r="H66" s="288"/>
      <c r="I66" s="273"/>
      <c r="J66" s="199"/>
      <c r="K66" s="121"/>
      <c r="L66" s="121"/>
      <c r="O66" s="121"/>
      <c r="P66" s="121"/>
      <c r="V66" s="121"/>
      <c r="W66" s="121"/>
      <c r="X66" s="121"/>
      <c r="Y66" s="121"/>
      <c r="Z66" s="121"/>
      <c r="AA66" s="121"/>
      <c r="AB66" s="121"/>
      <c r="AC66" s="121"/>
      <c r="AD66" s="121"/>
      <c r="AE66" s="121"/>
      <c r="AF66" s="121"/>
      <c r="AG66" s="121"/>
      <c r="AH66" s="121"/>
      <c r="AI66" s="121"/>
    </row>
    <row r="67" spans="1:35">
      <c r="A67" s="118"/>
      <c r="B67" s="323" t="s">
        <v>88</v>
      </c>
      <c r="C67" s="324"/>
      <c r="D67" s="286" t="str">
        <f>IF(E60="Monthly household fee","/HH/month","/container")</f>
        <v>/container</v>
      </c>
      <c r="E67" s="281"/>
      <c r="F67" s="283" t="str">
        <f>IF(E67=0, "", E67/E13)</f>
        <v/>
      </c>
      <c r="G67" s="174"/>
      <c r="H67" s="288" t="s">
        <v>89</v>
      </c>
      <c r="I67" s="272">
        <f>'Financial Sustainability Work'!I37</f>
        <v>0</v>
      </c>
      <c r="J67" s="199"/>
      <c r="K67" s="121"/>
      <c r="L67" s="121"/>
      <c r="O67" s="121"/>
      <c r="P67" s="121"/>
      <c r="Q67" s="121"/>
      <c r="R67" s="121"/>
      <c r="S67" s="121"/>
      <c r="T67" s="121"/>
      <c r="U67" s="121"/>
      <c r="V67" s="121"/>
      <c r="W67" s="121"/>
      <c r="X67" s="121"/>
      <c r="Y67" s="121"/>
      <c r="Z67" s="121"/>
      <c r="AA67" s="121"/>
      <c r="AB67" s="121"/>
      <c r="AC67" s="121"/>
      <c r="AD67" s="121"/>
      <c r="AE67" s="121"/>
      <c r="AF67" s="121"/>
      <c r="AG67" s="121"/>
      <c r="AH67" s="121"/>
      <c r="AI67" s="121"/>
    </row>
    <row r="68" spans="1:35">
      <c r="A68" s="118"/>
      <c r="B68" s="325"/>
      <c r="C68" s="326"/>
      <c r="D68" s="287"/>
      <c r="E68" s="282"/>
      <c r="F68" s="284"/>
      <c r="G68" s="174"/>
      <c r="H68" s="288"/>
      <c r="I68" s="273"/>
      <c r="J68" s="120"/>
      <c r="K68" s="121"/>
      <c r="L68" s="121"/>
      <c r="O68" s="121"/>
      <c r="P68" s="121"/>
      <c r="Q68" s="121"/>
      <c r="R68" s="121"/>
      <c r="S68" s="121"/>
      <c r="T68" s="121"/>
      <c r="U68" s="121"/>
      <c r="V68" s="121"/>
      <c r="W68" s="121"/>
      <c r="X68" s="121"/>
      <c r="Y68" s="121"/>
      <c r="Z68" s="121"/>
      <c r="AA68" s="121"/>
      <c r="AB68" s="121"/>
      <c r="AC68" s="121"/>
      <c r="AD68" s="121"/>
      <c r="AE68" s="121"/>
      <c r="AF68" s="121"/>
      <c r="AG68" s="121"/>
      <c r="AH68" s="121"/>
      <c r="AI68" s="121"/>
    </row>
    <row r="69" spans="1:35" ht="15" customHeight="1">
      <c r="A69" s="118"/>
      <c r="B69" s="327" t="s">
        <v>90</v>
      </c>
      <c r="C69" s="328"/>
      <c r="D69" s="201" t="s">
        <v>91</v>
      </c>
      <c r="E69" s="276" t="str">
        <f>IFERROR(E74/E75, "")</f>
        <v/>
      </c>
      <c r="F69" s="276"/>
      <c r="G69" s="174"/>
      <c r="H69" s="288" t="s">
        <v>92</v>
      </c>
      <c r="I69" s="272">
        <f>'Financial Sustainability Work'!I32+'Financial Sustainability Work'!I34+'Financial Sustainability Work'!I35+'Financial Sustainability Work'!I36+'Financial Sustainability Work'!I39</f>
        <v>0</v>
      </c>
      <c r="J69" s="120"/>
      <c r="K69" s="121"/>
      <c r="L69" s="121"/>
      <c r="O69" s="121"/>
      <c r="P69" s="121"/>
      <c r="Q69" s="121"/>
      <c r="R69" s="121"/>
      <c r="S69" s="121"/>
      <c r="T69" s="121"/>
      <c r="U69" s="121"/>
      <c r="V69" s="121"/>
      <c r="W69" s="121"/>
      <c r="X69" s="121"/>
      <c r="Y69" s="121"/>
      <c r="Z69" s="121"/>
      <c r="AA69" s="121"/>
      <c r="AB69" s="121"/>
      <c r="AC69" s="121"/>
      <c r="AD69" s="121"/>
      <c r="AE69" s="121"/>
      <c r="AF69" s="121"/>
      <c r="AG69" s="121"/>
      <c r="AH69" s="121"/>
      <c r="AI69" s="121"/>
    </row>
    <row r="70" spans="1:35">
      <c r="A70" s="118"/>
      <c r="B70" s="314" t="s">
        <v>93</v>
      </c>
      <c r="C70" s="315"/>
      <c r="D70" s="181" t="s">
        <v>91</v>
      </c>
      <c r="E70" s="276" t="str">
        <f>IFERROR(E76/E77, "")</f>
        <v/>
      </c>
      <c r="F70" s="276"/>
      <c r="G70" s="174"/>
      <c r="H70" s="288"/>
      <c r="I70" s="273"/>
      <c r="J70" s="120"/>
      <c r="K70" s="121"/>
      <c r="L70" s="121"/>
      <c r="O70" s="121"/>
      <c r="P70" s="121"/>
      <c r="Q70" s="121"/>
      <c r="R70" s="121"/>
      <c r="S70" s="121"/>
      <c r="T70" s="121"/>
      <c r="U70" s="121"/>
      <c r="V70" s="121"/>
      <c r="W70" s="121"/>
      <c r="X70" s="121"/>
      <c r="Y70" s="121"/>
      <c r="Z70" s="121"/>
      <c r="AA70" s="121"/>
      <c r="AB70" s="121"/>
      <c r="AC70" s="121"/>
      <c r="AD70" s="121"/>
      <c r="AE70" s="121"/>
      <c r="AF70" s="121"/>
      <c r="AG70" s="121"/>
      <c r="AH70" s="121"/>
      <c r="AI70" s="121"/>
    </row>
    <row r="71" spans="1:35" ht="15" customHeight="1">
      <c r="A71" s="118"/>
      <c r="B71" s="316" t="s">
        <v>94</v>
      </c>
      <c r="C71" s="317"/>
      <c r="D71" s="201" t="s">
        <v>91</v>
      </c>
      <c r="E71" s="293" t="str">
        <f>IFERROR(IF(E60="Monthly household fee",E67/E11,E67*F21*30.4375/E11),"")</f>
        <v/>
      </c>
      <c r="F71" s="294"/>
      <c r="G71" s="202"/>
      <c r="H71" s="288" t="s">
        <v>95</v>
      </c>
      <c r="I71" s="272">
        <f>'Financial Sustainability Work'!I38</f>
        <v>0</v>
      </c>
      <c r="J71" s="120"/>
      <c r="K71" s="121"/>
      <c r="L71" s="121"/>
      <c r="O71" s="121"/>
      <c r="P71" s="121"/>
      <c r="Q71" s="121"/>
      <c r="R71" s="121"/>
      <c r="S71" s="121"/>
      <c r="T71" s="121"/>
      <c r="U71" s="121"/>
      <c r="V71" s="121"/>
      <c r="W71" s="121"/>
      <c r="X71" s="121"/>
      <c r="Y71" s="121"/>
      <c r="Z71" s="121"/>
      <c r="AA71" s="121"/>
      <c r="AB71" s="121"/>
      <c r="AC71" s="121"/>
      <c r="AD71" s="121"/>
      <c r="AE71" s="121"/>
      <c r="AF71" s="121"/>
      <c r="AG71" s="121"/>
      <c r="AH71" s="121"/>
      <c r="AI71" s="121"/>
    </row>
    <row r="72" spans="1:35" ht="15" customHeight="1">
      <c r="A72" s="202"/>
      <c r="B72" s="174"/>
      <c r="C72" s="174"/>
      <c r="D72" s="174"/>
      <c r="E72" s="174"/>
      <c r="F72" s="174"/>
      <c r="G72" s="174"/>
      <c r="H72" s="288"/>
      <c r="I72" s="273"/>
      <c r="J72" s="120"/>
      <c r="K72" s="121"/>
      <c r="L72" s="121"/>
      <c r="O72" s="121"/>
      <c r="P72" s="121"/>
      <c r="Q72" s="121"/>
      <c r="R72" s="121"/>
      <c r="S72" s="121"/>
      <c r="T72" s="121"/>
      <c r="U72" s="121"/>
      <c r="V72" s="121"/>
      <c r="W72" s="121"/>
      <c r="X72" s="121"/>
      <c r="Y72" s="121"/>
      <c r="Z72" s="121"/>
      <c r="AA72" s="121"/>
      <c r="AB72" s="121"/>
      <c r="AC72" s="121"/>
      <c r="AD72" s="121"/>
      <c r="AE72" s="121"/>
      <c r="AF72" s="121"/>
      <c r="AG72" s="121"/>
      <c r="AH72" s="121"/>
      <c r="AI72" s="121"/>
    </row>
    <row r="73" spans="1:35" ht="15" customHeight="1">
      <c r="A73" s="202"/>
      <c r="B73" s="174"/>
      <c r="C73" s="174"/>
      <c r="D73" s="174"/>
      <c r="E73" s="155" t="str">
        <f>$E$9</f>
        <v>UGX</v>
      </c>
      <c r="F73" s="155" t="str">
        <f>$E$10</f>
        <v>USD</v>
      </c>
      <c r="G73" s="174"/>
      <c r="H73" s="288" t="s">
        <v>66</v>
      </c>
      <c r="I73" s="272">
        <f>'Financial Sustainability Work'!I56</f>
        <v>0</v>
      </c>
      <c r="J73" s="120"/>
      <c r="K73" s="121"/>
      <c r="L73" s="121"/>
      <c r="O73" s="121"/>
      <c r="P73" s="121"/>
      <c r="Q73" s="121"/>
      <c r="R73" s="121"/>
      <c r="S73" s="121"/>
      <c r="T73" s="121"/>
      <c r="U73" s="121"/>
      <c r="V73" s="121"/>
      <c r="W73" s="121"/>
      <c r="X73" s="121"/>
      <c r="Y73" s="121"/>
      <c r="Z73" s="121"/>
      <c r="AA73" s="121"/>
      <c r="AB73" s="121"/>
      <c r="AC73" s="121"/>
      <c r="AD73" s="121"/>
      <c r="AE73" s="121"/>
      <c r="AF73" s="121"/>
      <c r="AG73" s="121"/>
      <c r="AH73" s="121"/>
      <c r="AI73" s="121"/>
    </row>
    <row r="74" spans="1:35" ht="15" customHeight="1">
      <c r="A74" s="118"/>
      <c r="B74" s="266" t="s">
        <v>96</v>
      </c>
      <c r="C74" s="267"/>
      <c r="D74" s="179" t="s">
        <v>52</v>
      </c>
      <c r="E74" s="203">
        <f>IFERROR(IF(E60="Monthly household fee",E67*E4*E20*E22,E67*F23*E22*30)+IF(E8="Yes",1,0)*SUM('Additional Calculations'!F46:F48), 0)</f>
        <v>0</v>
      </c>
      <c r="F74" s="203">
        <f>IFERROR(ROUND(E74/E13, -1), 0)</f>
        <v>0</v>
      </c>
      <c r="G74" s="174"/>
      <c r="H74" s="288"/>
      <c r="I74" s="273"/>
      <c r="J74" s="120"/>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1"/>
      <c r="AH74" s="121"/>
      <c r="AI74" s="121"/>
    </row>
    <row r="75" spans="1:35" ht="15" customHeight="1">
      <c r="A75" s="118"/>
      <c r="B75" s="268" t="s">
        <v>97</v>
      </c>
      <c r="C75" s="269"/>
      <c r="D75" s="181" t="s">
        <v>52</v>
      </c>
      <c r="E75" s="131">
        <f>G42</f>
        <v>0</v>
      </c>
      <c r="F75" s="204">
        <f>ROUND(H42, -1)</f>
        <v>0</v>
      </c>
      <c r="G75" s="174"/>
      <c r="H75" s="205"/>
      <c r="I75" s="205"/>
      <c r="J75" s="197"/>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row>
    <row r="76" spans="1:35" ht="15" customHeight="1">
      <c r="A76" s="118"/>
      <c r="B76" s="268" t="s">
        <v>98</v>
      </c>
      <c r="C76" s="269"/>
      <c r="D76" s="181" t="s">
        <v>52</v>
      </c>
      <c r="E76" s="131">
        <f>E74-E75</f>
        <v>0</v>
      </c>
      <c r="F76" s="131">
        <f>IFERROR(ROUND(E76/E13, -1), 0)</f>
        <v>0</v>
      </c>
      <c r="G76" s="174"/>
      <c r="H76" s="174"/>
      <c r="I76" s="205"/>
      <c r="J76" s="120"/>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c r="AH76" s="121"/>
      <c r="AI76" s="121"/>
    </row>
    <row r="77" spans="1:35" ht="15" customHeight="1">
      <c r="A77" s="118"/>
      <c r="B77" s="268" t="s">
        <v>99</v>
      </c>
      <c r="C77" s="269"/>
      <c r="D77" s="181" t="s">
        <v>52</v>
      </c>
      <c r="E77" s="131">
        <f>G56</f>
        <v>0</v>
      </c>
      <c r="F77" s="204">
        <f>ROUND(H56,-1)</f>
        <v>0</v>
      </c>
      <c r="G77" s="174"/>
      <c r="H77" s="205"/>
      <c r="I77" s="205"/>
      <c r="J77" s="197"/>
      <c r="K77" s="121"/>
      <c r="L77" s="121"/>
      <c r="M77" s="121"/>
      <c r="N77" s="121"/>
      <c r="O77" s="121"/>
      <c r="P77" s="121"/>
      <c r="Q77" s="121"/>
      <c r="R77" s="121"/>
      <c r="S77" s="121"/>
      <c r="T77" s="121"/>
      <c r="U77" s="121"/>
      <c r="V77" s="121"/>
      <c r="W77" s="121"/>
      <c r="X77" s="121"/>
      <c r="Y77" s="121"/>
      <c r="Z77" s="121"/>
      <c r="AA77" s="121"/>
      <c r="AB77" s="121"/>
      <c r="AC77" s="121"/>
      <c r="AD77" s="121"/>
      <c r="AE77" s="121"/>
      <c r="AF77" s="121"/>
      <c r="AG77" s="121"/>
      <c r="AH77" s="121"/>
      <c r="AI77" s="121"/>
    </row>
    <row r="78" spans="1:35" ht="15" customHeight="1">
      <c r="A78" s="118"/>
      <c r="B78" s="270" t="s">
        <v>100</v>
      </c>
      <c r="C78" s="271"/>
      <c r="D78" s="155" t="s">
        <v>52</v>
      </c>
      <c r="E78" s="206">
        <f>E75+E77</f>
        <v>0</v>
      </c>
      <c r="F78" s="207">
        <f>F75+F77</f>
        <v>0</v>
      </c>
      <c r="G78" s="174"/>
      <c r="H78" s="205"/>
      <c r="I78" s="205"/>
      <c r="J78" s="197"/>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c r="AH78" s="121"/>
      <c r="AI78" s="121"/>
    </row>
    <row r="79" spans="1:35" ht="15" customHeight="1">
      <c r="A79" s="202"/>
      <c r="B79" s="174"/>
      <c r="C79" s="174"/>
      <c r="D79" s="174"/>
      <c r="E79" s="174"/>
      <c r="F79" s="174"/>
      <c r="G79" s="174"/>
      <c r="H79" s="174"/>
      <c r="I79" s="205"/>
      <c r="J79" s="197"/>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row>
    <row r="80" spans="1:35" ht="15" customHeight="1">
      <c r="A80" s="193"/>
      <c r="B80" s="123"/>
      <c r="C80" s="123"/>
      <c r="D80" s="123"/>
      <c r="E80" s="123"/>
      <c r="F80" s="123"/>
      <c r="G80" s="123"/>
      <c r="H80" s="208"/>
      <c r="I80" s="123"/>
      <c r="J80" s="189"/>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row>
    <row r="81" spans="2:35">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row>
    <row r="82" spans="2:35">
      <c r="B82" s="117"/>
      <c r="C82" s="117"/>
      <c r="D82" s="117"/>
      <c r="E82" s="117"/>
      <c r="F82" s="117"/>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1"/>
      <c r="AH82" s="121"/>
      <c r="AI82" s="121"/>
    </row>
    <row r="83" spans="2:35">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row>
  </sheetData>
  <sheetProtection sheet="1" objects="1" scenarios="1"/>
  <protectedRanges>
    <protectedRange sqref="E67" name="Range4"/>
    <protectedRange sqref="E20:E22 E39 E31:E37 E4:E5 E7 E9:E17" name="Range1"/>
    <protectedRange sqref="D46:D55" name="Range1_1"/>
    <protectedRange sqref="F46:F55" name="Range3"/>
  </protectedRanges>
  <mergeCells count="86">
    <mergeCell ref="B70:C70"/>
    <mergeCell ref="B71:C71"/>
    <mergeCell ref="B20:C20"/>
    <mergeCell ref="B21:C21"/>
    <mergeCell ref="B22:C22"/>
    <mergeCell ref="B23:C23"/>
    <mergeCell ref="B61:C62"/>
    <mergeCell ref="B63:C64"/>
    <mergeCell ref="B65:C66"/>
    <mergeCell ref="B67:C68"/>
    <mergeCell ref="B69:C69"/>
    <mergeCell ref="B39:C39"/>
    <mergeCell ref="H59:H60"/>
    <mergeCell ref="I59:I60"/>
    <mergeCell ref="B60:C60"/>
    <mergeCell ref="B32:C32"/>
    <mergeCell ref="B33:C33"/>
    <mergeCell ref="B34:C34"/>
    <mergeCell ref="B35:C35"/>
    <mergeCell ref="B36:C36"/>
    <mergeCell ref="E44:F44"/>
    <mergeCell ref="E60:F60"/>
    <mergeCell ref="I44:I45"/>
    <mergeCell ref="D44:D45"/>
    <mergeCell ref="B4:C4"/>
    <mergeCell ref="B5:C5"/>
    <mergeCell ref="B7:C7"/>
    <mergeCell ref="B6:C6"/>
    <mergeCell ref="E25:F25"/>
    <mergeCell ref="B9:C9"/>
    <mergeCell ref="B11:C11"/>
    <mergeCell ref="B12:C12"/>
    <mergeCell ref="B13:C13"/>
    <mergeCell ref="B14:C14"/>
    <mergeCell ref="B15:C15"/>
    <mergeCell ref="B16:C16"/>
    <mergeCell ref="B17:C17"/>
    <mergeCell ref="B10:C10"/>
    <mergeCell ref="B8:D8"/>
    <mergeCell ref="G25:H25"/>
    <mergeCell ref="E40:F40"/>
    <mergeCell ref="E41:F41"/>
    <mergeCell ref="G44:H44"/>
    <mergeCell ref="A27:A30"/>
    <mergeCell ref="A31:A39"/>
    <mergeCell ref="B40:D40"/>
    <mergeCell ref="B41:D41"/>
    <mergeCell ref="B31:C31"/>
    <mergeCell ref="H73:H74"/>
    <mergeCell ref="H71:H72"/>
    <mergeCell ref="E69:F69"/>
    <mergeCell ref="E71:F71"/>
    <mergeCell ref="H69:H70"/>
    <mergeCell ref="H67:H68"/>
    <mergeCell ref="H65:H66"/>
    <mergeCell ref="H63:H64"/>
    <mergeCell ref="E61:E62"/>
    <mergeCell ref="E63:E64"/>
    <mergeCell ref="F65:F66"/>
    <mergeCell ref="F61:F62"/>
    <mergeCell ref="E65:E66"/>
    <mergeCell ref="I25:I26"/>
    <mergeCell ref="E70:F70"/>
    <mergeCell ref="B56:D56"/>
    <mergeCell ref="B42:F42"/>
    <mergeCell ref="E67:E68"/>
    <mergeCell ref="F67:F68"/>
    <mergeCell ref="D57:F57"/>
    <mergeCell ref="D61:D62"/>
    <mergeCell ref="D63:D64"/>
    <mergeCell ref="D65:D66"/>
    <mergeCell ref="D67:D68"/>
    <mergeCell ref="H61:H62"/>
    <mergeCell ref="I61:I62"/>
    <mergeCell ref="I63:I64"/>
    <mergeCell ref="F63:F64"/>
    <mergeCell ref="I73:I74"/>
    <mergeCell ref="I71:I72"/>
    <mergeCell ref="I69:I70"/>
    <mergeCell ref="I67:I68"/>
    <mergeCell ref="I65:I66"/>
    <mergeCell ref="B74:C74"/>
    <mergeCell ref="B75:C75"/>
    <mergeCell ref="B76:C76"/>
    <mergeCell ref="B77:C77"/>
    <mergeCell ref="B78:C78"/>
  </mergeCells>
  <conditionalFormatting sqref="E61 E63 E65 E67">
    <cfRule type="cellIs" dxfId="28" priority="5" operator="lessThan">
      <formula>1</formula>
    </cfRule>
  </conditionalFormatting>
  <conditionalFormatting sqref="E61 E63 E65">
    <cfRule type="cellIs" dxfId="27" priority="6" operator="lessThan">
      <formula>10</formula>
    </cfRule>
  </conditionalFormatting>
  <conditionalFormatting sqref="E67">
    <cfRule type="cellIs" dxfId="26" priority="7" operator="lessThan">
      <formula>10</formula>
    </cfRule>
  </conditionalFormatting>
  <conditionalFormatting sqref="E71">
    <cfRule type="cellIs" dxfId="25" priority="30" operator="lessThan">
      <formula>$E$12</formula>
    </cfRule>
    <cfRule type="cellIs" dxfId="24" priority="31" operator="greaterThan">
      <formula>$E$12</formula>
    </cfRule>
  </conditionalFormatting>
  <conditionalFormatting sqref="E69:F69">
    <cfRule type="cellIs" dxfId="23" priority="3" operator="lessThan">
      <formula>1</formula>
    </cfRule>
  </conditionalFormatting>
  <conditionalFormatting sqref="E69:F70">
    <cfRule type="cellIs" dxfId="22" priority="29" operator="greaterThan">
      <formula>1</formula>
    </cfRule>
  </conditionalFormatting>
  <conditionalFormatting sqref="E69:F71">
    <cfRule type="containsBlanks" dxfId="21" priority="2">
      <formula>LEN(TRIM(E69))=0</formula>
    </cfRule>
  </conditionalFormatting>
  <dataValidations count="2">
    <dataValidation type="list" allowBlank="1" showInputMessage="1" showErrorMessage="1" sqref="C27:C29 C38 E8" xr:uid="{42D72C1D-B52B-4DD3-ACC1-E50A92000B0E}">
      <formula1>"Yes/No, Yes, No"</formula1>
    </dataValidation>
    <dataValidation type="list" allowBlank="1" showInputMessage="1" showErrorMessage="1" sqref="E60:F60" xr:uid="{C63030F7-F74E-4D8D-9767-BAB031CB52E9}">
      <formula1>"Select from dropdown, Monthly household fee, Per container"</formula1>
    </dataValidation>
  </dataValidations>
  <pageMargins left="0.72" right="0.72" top="0.75" bottom="0.75" header="0.3" footer="0.3"/>
  <pageSetup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E3976-9AF3-4F39-A224-80275204716B}">
  <sheetPr>
    <pageSetUpPr fitToPage="1"/>
  </sheetPr>
  <dimension ref="A1:K63"/>
  <sheetViews>
    <sheetView tabSelected="1" zoomScaleNormal="100" zoomScaleSheetLayoutView="160" workbookViewId="0">
      <selection activeCell="B1" sqref="B1"/>
    </sheetView>
  </sheetViews>
  <sheetFormatPr defaultColWidth="9.28515625" defaultRowHeight="15"/>
  <cols>
    <col min="1" max="1" width="3.85546875" style="210" customWidth="1"/>
    <col min="2" max="6" width="15.42578125" style="210" customWidth="1"/>
    <col min="7" max="7" width="16.42578125" style="210" customWidth="1"/>
    <col min="8" max="10" width="15.42578125" style="210" customWidth="1"/>
    <col min="11" max="11" width="3.28515625" style="210" customWidth="1"/>
    <col min="12" max="16384" width="9.28515625" style="210"/>
  </cols>
  <sheetData>
    <row r="1" spans="1:11" ht="45.95" customHeight="1">
      <c r="A1" s="209"/>
      <c r="B1" s="400" t="s">
        <v>101</v>
      </c>
      <c r="C1" s="259"/>
      <c r="D1" s="259"/>
      <c r="E1" s="259"/>
      <c r="F1" s="259"/>
      <c r="G1" s="259"/>
      <c r="H1" s="259"/>
      <c r="I1" s="259"/>
      <c r="J1" s="259"/>
      <c r="K1" s="125"/>
    </row>
    <row r="2" spans="1:11">
      <c r="A2" s="211"/>
      <c r="B2" s="127"/>
      <c r="C2" s="127"/>
      <c r="D2" s="127"/>
      <c r="E2" s="127"/>
      <c r="F2" s="127"/>
      <c r="G2" s="127"/>
      <c r="H2" s="127"/>
      <c r="I2" s="127"/>
      <c r="J2" s="127"/>
      <c r="K2" s="128"/>
    </row>
    <row r="3" spans="1:11" ht="15" customHeight="1">
      <c r="A3" s="211"/>
      <c r="B3" s="340" t="s">
        <v>102</v>
      </c>
      <c r="C3" s="340"/>
      <c r="D3" s="201" t="str">
        <f>'Financial Sustainability Work'!E9</f>
        <v>UGX</v>
      </c>
      <c r="E3" s="127"/>
      <c r="F3" s="127"/>
      <c r="G3" s="127"/>
      <c r="H3" s="127"/>
      <c r="I3" s="127"/>
      <c r="J3" s="127"/>
      <c r="K3" s="128"/>
    </row>
    <row r="4" spans="1:11" ht="15" customHeight="1">
      <c r="A4" s="211"/>
      <c r="B4" s="340" t="s">
        <v>103</v>
      </c>
      <c r="C4" s="340"/>
      <c r="D4" s="201" t="str">
        <f>'Financial Sustainability Work'!E10</f>
        <v>USD</v>
      </c>
      <c r="E4" s="127"/>
      <c r="F4" s="127"/>
      <c r="G4" s="127"/>
      <c r="H4" s="127"/>
      <c r="I4" s="127"/>
      <c r="J4" s="127"/>
      <c r="K4" s="128"/>
    </row>
    <row r="5" spans="1:11" ht="15" customHeight="1">
      <c r="A5" s="211"/>
      <c r="B5" s="340" t="str">
        <f>_xlfn.CONCAT("Exchange Rate [",D3,"/",D4,"]:")</f>
        <v>Exchange Rate [UGX/USD]:</v>
      </c>
      <c r="C5" s="340"/>
      <c r="D5" s="201">
        <f>'Financial Sustainability Work'!E13</f>
        <v>3500</v>
      </c>
      <c r="E5" s="127"/>
      <c r="F5" s="127"/>
      <c r="G5" s="127"/>
      <c r="H5" s="127"/>
      <c r="I5" s="127"/>
      <c r="J5" s="127"/>
      <c r="K5" s="128"/>
    </row>
    <row r="6" spans="1:11" ht="15" customHeight="1">
      <c r="A6" s="211"/>
      <c r="B6" s="187"/>
      <c r="C6" s="187"/>
      <c r="D6" s="157"/>
      <c r="E6" s="127"/>
      <c r="F6" s="127"/>
      <c r="G6" s="127"/>
      <c r="H6" s="127"/>
      <c r="I6" s="127"/>
      <c r="J6" s="127"/>
      <c r="K6" s="128"/>
    </row>
    <row r="7" spans="1:11" ht="15" customHeight="1">
      <c r="A7" s="211"/>
      <c r="B7" s="127"/>
      <c r="C7" s="127"/>
      <c r="D7" s="127"/>
      <c r="E7" s="127"/>
      <c r="F7" s="127"/>
      <c r="G7" s="127"/>
      <c r="H7" s="127"/>
      <c r="I7" s="127"/>
      <c r="J7" s="127"/>
      <c r="K7" s="128"/>
    </row>
    <row r="8" spans="1:11" ht="15" customHeight="1">
      <c r="A8" s="211"/>
      <c r="B8" s="212" t="s">
        <v>104</v>
      </c>
      <c r="C8" s="187" t="s">
        <v>43</v>
      </c>
      <c r="D8" s="145" t="str">
        <f>'Financial Sustainability Work'!C27</f>
        <v>Yes/No</v>
      </c>
      <c r="E8" s="127"/>
      <c r="F8" s="127"/>
      <c r="G8" s="127"/>
      <c r="H8" s="127"/>
      <c r="I8" s="127"/>
      <c r="J8" s="127"/>
      <c r="K8" s="128"/>
    </row>
    <row r="9" spans="1:11" ht="15" customHeight="1">
      <c r="A9" s="211"/>
      <c r="B9" s="213"/>
      <c r="C9" s="127"/>
      <c r="D9" s="127"/>
      <c r="E9" s="127"/>
      <c r="F9" s="127"/>
      <c r="G9" s="127"/>
      <c r="H9" s="127"/>
      <c r="I9" s="127"/>
      <c r="J9" s="127"/>
      <c r="K9" s="128"/>
    </row>
    <row r="10" spans="1:11" ht="15" customHeight="1">
      <c r="A10" s="211"/>
      <c r="B10" s="333" t="s">
        <v>105</v>
      </c>
      <c r="C10" s="335"/>
      <c r="D10" s="335"/>
      <c r="E10" s="334"/>
      <c r="F10" s="333" t="s">
        <v>106</v>
      </c>
      <c r="G10" s="335"/>
      <c r="H10" s="334"/>
      <c r="I10" s="201" t="s">
        <v>107</v>
      </c>
      <c r="J10" s="127"/>
      <c r="K10" s="128"/>
    </row>
    <row r="11" spans="1:11" ht="15" customHeight="1" thickBot="1">
      <c r="A11" s="211"/>
      <c r="B11" s="214" t="str">
        <f>D3</f>
        <v>UGX</v>
      </c>
      <c r="C11" s="214" t="str">
        <f>D4</f>
        <v>USD</v>
      </c>
      <c r="D11" s="214" t="s">
        <v>108</v>
      </c>
      <c r="E11" s="214" t="s">
        <v>109</v>
      </c>
      <c r="F11" s="215" t="str">
        <f>_xlfn.CONCAT(C11,"/kg")</f>
        <v>USD/kg</v>
      </c>
      <c r="G11" s="215" t="s">
        <v>110</v>
      </c>
      <c r="H11" s="215" t="s">
        <v>111</v>
      </c>
      <c r="I11" s="214" t="str">
        <f>_xlfn.CONCAT(C11,"/m3")</f>
        <v>USD/m3</v>
      </c>
      <c r="J11" s="211"/>
      <c r="K11" s="128"/>
    </row>
    <row r="12" spans="1:11" ht="15" customHeight="1" thickTop="1">
      <c r="A12" s="211"/>
      <c r="B12" s="194">
        <v>185000</v>
      </c>
      <c r="C12" s="200">
        <f>IFERROR(B12/D5, 0)</f>
        <v>52.857142857142854</v>
      </c>
      <c r="D12" s="194">
        <v>0.45</v>
      </c>
      <c r="E12" s="137">
        <v>0.9</v>
      </c>
      <c r="F12" s="200">
        <f>C12/ D12*E12</f>
        <v>105.71428571428571</v>
      </c>
      <c r="G12" s="194">
        <v>1.5</v>
      </c>
      <c r="H12" s="216">
        <f>G12/1000</f>
        <v>1.5E-3</v>
      </c>
      <c r="I12" s="200">
        <f>F12*H12</f>
        <v>0.15857142857142856</v>
      </c>
      <c r="J12" s="211"/>
      <c r="K12" s="128"/>
    </row>
    <row r="13" spans="1:11" ht="15" customHeight="1">
      <c r="A13" s="211"/>
      <c r="B13" s="127"/>
      <c r="C13" s="127"/>
      <c r="D13" s="127"/>
      <c r="E13" s="127"/>
      <c r="F13" s="127"/>
      <c r="G13" s="127"/>
      <c r="H13" s="127"/>
      <c r="I13" s="127"/>
      <c r="J13" s="175"/>
      <c r="K13" s="128"/>
    </row>
    <row r="14" spans="1:11" ht="15" customHeight="1">
      <c r="A14" s="211"/>
      <c r="B14" s="127"/>
      <c r="C14" s="127"/>
      <c r="D14" s="127"/>
      <c r="E14" s="127"/>
      <c r="F14" s="127"/>
      <c r="G14" s="127"/>
      <c r="H14" s="127"/>
      <c r="I14" s="127"/>
      <c r="J14" s="175"/>
      <c r="K14" s="128"/>
    </row>
    <row r="15" spans="1:11" ht="15" customHeight="1">
      <c r="A15" s="211"/>
      <c r="B15" s="127"/>
      <c r="C15" s="127"/>
      <c r="D15" s="127"/>
      <c r="E15" s="127"/>
      <c r="F15" s="127"/>
      <c r="G15" s="127"/>
      <c r="H15" s="127"/>
      <c r="I15" s="127"/>
      <c r="J15" s="127"/>
      <c r="K15" s="128"/>
    </row>
    <row r="16" spans="1:11" ht="15" customHeight="1">
      <c r="A16" s="211"/>
      <c r="B16" s="341" t="s">
        <v>112</v>
      </c>
      <c r="C16" s="342"/>
      <c r="D16" s="343"/>
      <c r="E16" s="187" t="s">
        <v>43</v>
      </c>
      <c r="F16" s="145" t="str">
        <f>'Financial Sustainability Work'!C28</f>
        <v>Yes/No</v>
      </c>
      <c r="G16" s="127"/>
      <c r="H16" s="127"/>
      <c r="I16" s="127"/>
      <c r="J16" s="127"/>
      <c r="K16" s="128"/>
    </row>
    <row r="17" spans="1:11" ht="15" customHeight="1">
      <c r="A17" s="211"/>
      <c r="B17" s="213"/>
      <c r="C17" s="127"/>
      <c r="D17" s="127"/>
      <c r="E17" s="127"/>
      <c r="F17" s="127"/>
      <c r="G17" s="127"/>
      <c r="H17" s="127"/>
      <c r="I17" s="127"/>
      <c r="J17" s="127"/>
      <c r="K17" s="128"/>
    </row>
    <row r="18" spans="1:11" ht="15" customHeight="1">
      <c r="A18" s="211"/>
      <c r="B18" s="201" t="s">
        <v>113</v>
      </c>
      <c r="C18" s="333" t="s">
        <v>114</v>
      </c>
      <c r="D18" s="334"/>
      <c r="E18" s="333" t="s">
        <v>115</v>
      </c>
      <c r="F18" s="335"/>
      <c r="G18" s="334"/>
      <c r="H18" s="127"/>
      <c r="I18" s="201" t="s">
        <v>107</v>
      </c>
      <c r="J18" s="201" t="s">
        <v>107</v>
      </c>
      <c r="K18" s="128"/>
    </row>
    <row r="19" spans="1:11" ht="15" customHeight="1" thickBot="1">
      <c r="A19" s="211"/>
      <c r="B19" s="214" t="s">
        <v>116</v>
      </c>
      <c r="C19" s="214" t="str">
        <f>_xlfn.CONCAT($D$3, "/L")</f>
        <v>UGX/L</v>
      </c>
      <c r="D19" s="214" t="str">
        <f>_xlfn.CONCAT($D$4, "/L")</f>
        <v>USD/L</v>
      </c>
      <c r="E19" s="336" t="s">
        <v>117</v>
      </c>
      <c r="F19" s="337"/>
      <c r="G19" s="217" t="s">
        <v>118</v>
      </c>
      <c r="H19" s="127"/>
      <c r="I19" s="214" t="str">
        <f>_xlfn.CONCAT($D$3, "/day")</f>
        <v>UGX/day</v>
      </c>
      <c r="J19" s="214" t="str">
        <f>_xlfn.CONCAT($D$3, "/month")</f>
        <v>UGX/month</v>
      </c>
      <c r="K19" s="128"/>
    </row>
    <row r="20" spans="1:11" ht="15" customHeight="1" thickTop="1">
      <c r="A20" s="211"/>
      <c r="B20" s="194">
        <v>3</v>
      </c>
      <c r="C20" s="194"/>
      <c r="D20" s="218">
        <v>1.2</v>
      </c>
      <c r="E20" s="338">
        <v>12</v>
      </c>
      <c r="F20" s="339"/>
      <c r="G20" s="219">
        <v>0.3</v>
      </c>
      <c r="H20" s="127"/>
      <c r="I20" s="220">
        <f>IF(C20&gt;0, C20*E20*G20*B20, D20*D5*E20*G20*B20)</f>
        <v>45360</v>
      </c>
      <c r="J20" s="221">
        <f>I20*30.735</f>
        <v>1394139.5999999999</v>
      </c>
      <c r="K20" s="128"/>
    </row>
    <row r="21" spans="1:11" ht="15" customHeight="1" thickBot="1">
      <c r="A21" s="211"/>
      <c r="B21" s="127"/>
      <c r="C21" s="127"/>
      <c r="D21" s="127"/>
      <c r="E21" s="127"/>
      <c r="F21" s="127"/>
      <c r="G21" s="127"/>
      <c r="H21" s="127"/>
      <c r="I21" s="214" t="str">
        <f>_xlfn.CONCAT($D$4, "/day")</f>
        <v>USD/day</v>
      </c>
      <c r="J21" s="214" t="str">
        <f>_xlfn.CONCAT($D$4, "/month")</f>
        <v>USD/month</v>
      </c>
      <c r="K21" s="128"/>
    </row>
    <row r="22" spans="1:11" ht="15" customHeight="1" thickTop="1">
      <c r="A22" s="211"/>
      <c r="B22" s="127"/>
      <c r="C22" s="127"/>
      <c r="D22" s="127"/>
      <c r="E22" s="127"/>
      <c r="F22" s="127"/>
      <c r="G22" s="127"/>
      <c r="H22" s="127"/>
      <c r="I22" s="200">
        <f>I20/D5</f>
        <v>12.96</v>
      </c>
      <c r="J22" s="222">
        <f>I22*30.4375</f>
        <v>394.47</v>
      </c>
      <c r="K22" s="128"/>
    </row>
    <row r="23" spans="1:11" ht="15" customHeight="1">
      <c r="A23" s="211"/>
      <c r="B23" s="127"/>
      <c r="C23" s="127"/>
      <c r="D23" s="127"/>
      <c r="E23" s="127"/>
      <c r="F23" s="127"/>
      <c r="G23" s="127"/>
      <c r="H23" s="127"/>
      <c r="I23" s="175"/>
      <c r="J23" s="157"/>
      <c r="K23" s="128"/>
    </row>
    <row r="24" spans="1:11" ht="15" customHeight="1">
      <c r="A24" s="211"/>
      <c r="B24" s="341" t="s">
        <v>119</v>
      </c>
      <c r="C24" s="342"/>
      <c r="D24" s="343"/>
      <c r="E24" s="157" t="s">
        <v>43</v>
      </c>
      <c r="F24" s="145" t="str">
        <f>'Financial Sustainability Work'!C29</f>
        <v>Yes/No</v>
      </c>
      <c r="G24" s="127"/>
      <c r="H24" s="127"/>
      <c r="I24" s="127"/>
      <c r="J24" s="127"/>
      <c r="K24" s="128"/>
    </row>
    <row r="25" spans="1:11" ht="15" customHeight="1">
      <c r="A25" s="211"/>
      <c r="B25" s="213"/>
      <c r="C25" s="127"/>
      <c r="D25" s="127"/>
      <c r="E25" s="127"/>
      <c r="F25" s="127"/>
      <c r="G25" s="127"/>
      <c r="H25" s="127"/>
      <c r="I25" s="127"/>
      <c r="J25" s="127"/>
      <c r="K25" s="128"/>
    </row>
    <row r="26" spans="1:11" ht="15" customHeight="1">
      <c r="A26" s="211"/>
      <c r="B26" s="201" t="s">
        <v>120</v>
      </c>
      <c r="C26" s="333" t="s">
        <v>121</v>
      </c>
      <c r="D26" s="334"/>
      <c r="E26" s="333" t="s">
        <v>122</v>
      </c>
      <c r="F26" s="334"/>
      <c r="G26" s="223" t="s">
        <v>123</v>
      </c>
      <c r="H26" s="127"/>
      <c r="I26" s="201" t="s">
        <v>107</v>
      </c>
      <c r="J26" s="201" t="s">
        <v>107</v>
      </c>
      <c r="K26" s="128"/>
    </row>
    <row r="27" spans="1:11" ht="15" customHeight="1" thickBot="1">
      <c r="A27" s="211"/>
      <c r="B27" s="215" t="s">
        <v>116</v>
      </c>
      <c r="C27" s="214" t="str">
        <f>_xlfn.CONCAT($D$3, "/kWh")</f>
        <v>UGX/kWh</v>
      </c>
      <c r="D27" s="215" t="str">
        <f>_xlfn.CONCAT($D$4, "/kWh")</f>
        <v>USD/kWh</v>
      </c>
      <c r="E27" s="336" t="s">
        <v>117</v>
      </c>
      <c r="F27" s="337"/>
      <c r="G27" s="215" t="s">
        <v>37</v>
      </c>
      <c r="H27" s="127"/>
      <c r="I27" s="214" t="str">
        <f>_xlfn.CONCAT($D$3, "/day")</f>
        <v>UGX/day</v>
      </c>
      <c r="J27" s="214" t="str">
        <f>_xlfn.CONCAT($D$3, "/month")</f>
        <v>UGX/month</v>
      </c>
      <c r="K27" s="128"/>
    </row>
    <row r="28" spans="1:11" ht="15" customHeight="1" thickTop="1">
      <c r="A28" s="211"/>
      <c r="B28" s="194">
        <v>1.4</v>
      </c>
      <c r="C28" s="194"/>
      <c r="D28" s="218">
        <v>0.1</v>
      </c>
      <c r="E28" s="331">
        <v>2</v>
      </c>
      <c r="F28" s="332"/>
      <c r="G28" s="221">
        <f>'Financial Sustainability Work'!E23</f>
        <v>0</v>
      </c>
      <c r="H28" s="127"/>
      <c r="I28" s="220">
        <f>B28*IF(C28=0, D28*D5, C28)*E28</f>
        <v>979.99999999999989</v>
      </c>
      <c r="J28" s="221">
        <f>I28*30.735</f>
        <v>30120.299999999996</v>
      </c>
      <c r="K28" s="128"/>
    </row>
    <row r="29" spans="1:11" ht="15" customHeight="1" thickBot="1">
      <c r="A29" s="211"/>
      <c r="B29" s="127"/>
      <c r="C29" s="127"/>
      <c r="D29" s="127"/>
      <c r="E29" s="127"/>
      <c r="F29" s="127"/>
      <c r="G29" s="127"/>
      <c r="H29" s="127"/>
      <c r="I29" s="214" t="str">
        <f>_xlfn.CONCAT($D$4, "/day")</f>
        <v>USD/day</v>
      </c>
      <c r="J29" s="214" t="str">
        <f>_xlfn.CONCAT($D$4, "/month")</f>
        <v>USD/month</v>
      </c>
      <c r="K29" s="128"/>
    </row>
    <row r="30" spans="1:11" ht="15" customHeight="1" thickTop="1">
      <c r="A30" s="211"/>
      <c r="B30" s="127"/>
      <c r="C30" s="127"/>
      <c r="D30" s="127"/>
      <c r="E30" s="127"/>
      <c r="F30" s="127"/>
      <c r="G30" s="127"/>
      <c r="H30" s="127"/>
      <c r="I30" s="200">
        <f>B28*IF(C28=0, D28, C28/D5)*E28</f>
        <v>0.27999999999999997</v>
      </c>
      <c r="J30" s="224">
        <f>I30*30.4375</f>
        <v>8.5224999999999991</v>
      </c>
      <c r="K30" s="128"/>
    </row>
    <row r="31" spans="1:11" ht="15" customHeight="1">
      <c r="A31" s="211"/>
      <c r="B31" s="127"/>
      <c r="C31" s="127"/>
      <c r="D31" s="187"/>
      <c r="E31" s="225"/>
      <c r="F31" s="127"/>
      <c r="G31" s="127"/>
      <c r="H31" s="127"/>
      <c r="I31" s="175"/>
      <c r="J31" s="226"/>
      <c r="K31" s="128"/>
    </row>
    <row r="32" spans="1:11" ht="15" customHeight="1">
      <c r="A32" s="211"/>
      <c r="B32" s="127"/>
      <c r="C32" s="127"/>
      <c r="D32" s="187"/>
      <c r="E32" s="225"/>
      <c r="F32" s="127"/>
      <c r="G32" s="127"/>
      <c r="H32" s="127"/>
      <c r="I32" s="175"/>
      <c r="J32" s="226"/>
      <c r="K32" s="128"/>
    </row>
    <row r="33" spans="1:11" ht="15" customHeight="1">
      <c r="A33" s="211"/>
      <c r="B33" s="127"/>
      <c r="C33" s="127"/>
      <c r="D33" s="127"/>
      <c r="E33" s="127"/>
      <c r="F33" s="127"/>
      <c r="G33" s="127"/>
      <c r="H33" s="127"/>
      <c r="I33" s="127"/>
      <c r="J33" s="127"/>
      <c r="K33" s="128"/>
    </row>
    <row r="34" spans="1:11" ht="15" customHeight="1">
      <c r="A34" s="211"/>
      <c r="B34" s="341" t="s">
        <v>124</v>
      </c>
      <c r="C34" s="342"/>
      <c r="D34" s="343"/>
      <c r="E34" s="187" t="s">
        <v>43</v>
      </c>
      <c r="F34" s="145" t="str">
        <f>'Financial Sustainability Work'!C38</f>
        <v>Yes/No</v>
      </c>
      <c r="G34" s="127"/>
      <c r="H34" s="127"/>
      <c r="I34" s="201" t="s">
        <v>107</v>
      </c>
      <c r="J34" s="201" t="s">
        <v>107</v>
      </c>
      <c r="K34" s="128"/>
    </row>
    <row r="35" spans="1:11" ht="15" customHeight="1" thickBot="1">
      <c r="A35" s="211"/>
      <c r="B35" s="213"/>
      <c r="C35" s="127"/>
      <c r="D35" s="127"/>
      <c r="E35" s="127"/>
      <c r="F35" s="127"/>
      <c r="G35" s="127"/>
      <c r="H35" s="127"/>
      <c r="I35" s="214" t="str">
        <f>_xlfn.CONCAT($D$3, "/month")</f>
        <v>UGX/month</v>
      </c>
      <c r="J35" s="214" t="str">
        <f>_xlfn.CONCAT($D$3, "/year")</f>
        <v>UGX/year</v>
      </c>
      <c r="K35" s="128"/>
    </row>
    <row r="36" spans="1:11" ht="15" customHeight="1" thickTop="1">
      <c r="A36" s="211"/>
      <c r="B36" s="357" t="s">
        <v>125</v>
      </c>
      <c r="C36" s="357"/>
      <c r="D36" s="357"/>
      <c r="E36" s="357"/>
      <c r="F36" s="227">
        <v>12</v>
      </c>
      <c r="G36" s="127"/>
      <c r="H36" s="127"/>
      <c r="I36" s="221">
        <f>J36/12</f>
        <v>120000</v>
      </c>
      <c r="J36" s="221">
        <f>F36*F37*F38</f>
        <v>1440000</v>
      </c>
      <c r="K36" s="128"/>
    </row>
    <row r="37" spans="1:11" ht="15" customHeight="1" thickBot="1">
      <c r="A37" s="211"/>
      <c r="B37" s="357" t="s">
        <v>126</v>
      </c>
      <c r="C37" s="357"/>
      <c r="D37" s="357"/>
      <c r="E37" s="357"/>
      <c r="F37" s="227">
        <v>2</v>
      </c>
      <c r="G37" s="127"/>
      <c r="H37" s="127"/>
      <c r="I37" s="214" t="str">
        <f>_xlfn.CONCAT($D$4, "/month")</f>
        <v>USD/month</v>
      </c>
      <c r="J37" s="214" t="str">
        <f>_xlfn.CONCAT($D$4, "/year")</f>
        <v>USD/year</v>
      </c>
      <c r="K37" s="128"/>
    </row>
    <row r="38" spans="1:11" ht="15" customHeight="1" thickTop="1">
      <c r="A38" s="211"/>
      <c r="B38" s="357" t="str">
        <f>_xlfn.CONCAT("Cost per Support Visit Labor Day (",B11,"/day)")</f>
        <v>Cost per Support Visit Labor Day (UGX/day)</v>
      </c>
      <c r="C38" s="357"/>
      <c r="D38" s="357"/>
      <c r="E38" s="357"/>
      <c r="F38" s="228">
        <v>60000</v>
      </c>
      <c r="G38" s="127"/>
      <c r="H38" s="127"/>
      <c r="I38" s="224">
        <f>J38/12</f>
        <v>34.285714285714285</v>
      </c>
      <c r="J38" s="224">
        <f>J36/$D$5</f>
        <v>411.42857142857144</v>
      </c>
      <c r="K38" s="128"/>
    </row>
    <row r="39" spans="1:11" ht="15" customHeight="1">
      <c r="A39" s="211"/>
      <c r="B39" s="229"/>
      <c r="C39" s="229"/>
      <c r="D39" s="229"/>
      <c r="E39" s="229"/>
      <c r="F39" s="229"/>
      <c r="G39" s="229"/>
      <c r="H39" s="229"/>
      <c r="I39" s="229"/>
      <c r="J39" s="229"/>
      <c r="K39" s="128"/>
    </row>
    <row r="40" spans="1:11" ht="15" customHeight="1">
      <c r="A40" s="211"/>
      <c r="B40" s="229"/>
      <c r="C40" s="229"/>
      <c r="D40" s="229"/>
      <c r="E40" s="229"/>
      <c r="F40" s="229"/>
      <c r="G40" s="229"/>
      <c r="H40" s="229"/>
      <c r="I40" s="229"/>
      <c r="J40" s="229"/>
      <c r="K40" s="128"/>
    </row>
    <row r="41" spans="1:11" ht="15" customHeight="1">
      <c r="A41" s="211"/>
      <c r="B41" s="341" t="s">
        <v>127</v>
      </c>
      <c r="C41" s="342"/>
      <c r="D41" s="343"/>
      <c r="E41" s="187" t="s">
        <v>43</v>
      </c>
      <c r="F41" s="145" t="str">
        <f>'Financial Sustainability Work'!E8</f>
        <v>Yes/No</v>
      </c>
      <c r="G41" s="230"/>
      <c r="H41" s="229"/>
      <c r="I41" s="229"/>
      <c r="J41" s="229"/>
      <c r="K41" s="128"/>
    </row>
    <row r="42" spans="1:11" ht="15" customHeight="1">
      <c r="A42" s="211"/>
      <c r="B42" s="229"/>
      <c r="C42" s="229"/>
      <c r="D42" s="229"/>
      <c r="E42" s="229"/>
      <c r="F42" s="229"/>
      <c r="G42" s="229"/>
      <c r="H42" s="229"/>
      <c r="I42" s="229"/>
      <c r="J42" s="229"/>
      <c r="K42" s="128"/>
    </row>
    <row r="43" spans="1:11" ht="15" customHeight="1">
      <c r="A43" s="211"/>
      <c r="B43" s="229"/>
      <c r="C43" s="229"/>
      <c r="D43" s="229"/>
      <c r="E43" s="229"/>
      <c r="F43" s="355" t="s">
        <v>128</v>
      </c>
      <c r="G43" s="355"/>
      <c r="H43" s="350" t="s">
        <v>129</v>
      </c>
      <c r="I43" s="229"/>
      <c r="J43" s="127"/>
      <c r="K43" s="128"/>
    </row>
    <row r="44" spans="1:11" ht="15" customHeight="1" thickBot="1">
      <c r="A44" s="211"/>
      <c r="B44" s="229"/>
      <c r="C44" s="229"/>
      <c r="D44" s="353" t="s">
        <v>130</v>
      </c>
      <c r="E44" s="354"/>
      <c r="F44" s="214" t="str">
        <f>D3</f>
        <v>UGX</v>
      </c>
      <c r="G44" s="214" t="str">
        <f>D4</f>
        <v>USD</v>
      </c>
      <c r="H44" s="351"/>
      <c r="I44" s="229"/>
      <c r="J44" s="127"/>
      <c r="K44" s="128"/>
    </row>
    <row r="45" spans="1:11" ht="15" customHeight="1" thickTop="1">
      <c r="A45" s="211"/>
      <c r="B45" s="346" t="s">
        <v>131</v>
      </c>
      <c r="C45" s="346"/>
      <c r="D45" s="356" t="str">
        <f>'Financial Sustainability Work'!E60</f>
        <v>Select from dropdown</v>
      </c>
      <c r="E45" s="356"/>
      <c r="F45" s="348" t="s">
        <v>132</v>
      </c>
      <c r="G45" s="349"/>
      <c r="H45" s="352"/>
      <c r="I45" s="229"/>
      <c r="J45" s="127"/>
      <c r="K45" s="128"/>
    </row>
    <row r="46" spans="1:11" ht="15" customHeight="1">
      <c r="A46" s="211"/>
      <c r="B46" s="346" t="s">
        <v>133</v>
      </c>
      <c r="C46" s="346"/>
      <c r="D46" s="347" t="s">
        <v>134</v>
      </c>
      <c r="E46" s="347"/>
      <c r="F46" s="232">
        <v>20000</v>
      </c>
      <c r="G46" s="233">
        <f>IFERROR(IF(F46&gt;0, F46/$D$5, ""), "")</f>
        <v>5.7142857142857144</v>
      </c>
      <c r="H46" s="234">
        <v>20000</v>
      </c>
      <c r="I46" s="229"/>
      <c r="J46" s="127"/>
      <c r="K46" s="128"/>
    </row>
    <row r="47" spans="1:11" ht="15" customHeight="1">
      <c r="A47" s="211"/>
      <c r="B47" s="346" t="s">
        <v>135</v>
      </c>
      <c r="C47" s="346"/>
      <c r="D47" s="347"/>
      <c r="E47" s="347"/>
      <c r="F47" s="232">
        <v>0</v>
      </c>
      <c r="G47" s="233" t="str">
        <f>IF(F47&gt;0, F47/$D$5, "")</f>
        <v/>
      </c>
      <c r="H47" s="235"/>
      <c r="I47" s="229"/>
      <c r="J47" s="127"/>
      <c r="K47" s="128"/>
    </row>
    <row r="48" spans="1:11" ht="15" customHeight="1">
      <c r="A48" s="211"/>
      <c r="B48" s="346" t="s">
        <v>135</v>
      </c>
      <c r="C48" s="346"/>
      <c r="D48" s="347"/>
      <c r="E48" s="347"/>
      <c r="F48" s="232">
        <v>0</v>
      </c>
      <c r="G48" s="233" t="str">
        <f>IF(F48&gt;0, F48/$D$5, "")</f>
        <v/>
      </c>
      <c r="H48" s="235"/>
      <c r="I48" s="229"/>
      <c r="J48" s="127"/>
      <c r="K48" s="128"/>
    </row>
    <row r="49" spans="1:11" ht="15" customHeight="1">
      <c r="A49" s="211"/>
      <c r="B49" s="229"/>
      <c r="C49" s="229"/>
      <c r="D49" s="229"/>
      <c r="E49" s="229"/>
      <c r="F49" s="229"/>
      <c r="G49" s="229"/>
      <c r="H49" s="229"/>
      <c r="I49" s="229"/>
      <c r="J49" s="229"/>
      <c r="K49" s="128"/>
    </row>
    <row r="50" spans="1:11" ht="15" customHeight="1">
      <c r="A50" s="211"/>
      <c r="B50" s="229"/>
      <c r="C50" s="229"/>
      <c r="D50" s="229"/>
      <c r="E50" s="229"/>
      <c r="F50" s="229"/>
      <c r="G50" s="229"/>
      <c r="H50" s="229"/>
      <c r="I50" s="229"/>
      <c r="J50" s="229"/>
      <c r="K50" s="128"/>
    </row>
    <row r="51" spans="1:11" ht="15" customHeight="1">
      <c r="A51" s="211"/>
      <c r="B51" s="212" t="s">
        <v>136</v>
      </c>
      <c r="C51" s="236"/>
      <c r="D51" s="236"/>
      <c r="E51" s="187" t="s">
        <v>43</v>
      </c>
      <c r="F51" s="145" t="str">
        <f>'Financial Sustainability Work'!C28</f>
        <v>Yes/No</v>
      </c>
      <c r="G51" s="229"/>
      <c r="H51" s="229"/>
      <c r="I51" s="229"/>
      <c r="J51" s="229"/>
      <c r="K51" s="128"/>
    </row>
    <row r="52" spans="1:11" ht="15" customHeight="1">
      <c r="A52" s="211"/>
      <c r="B52" s="229"/>
      <c r="C52" s="229"/>
      <c r="D52" s="229"/>
      <c r="E52" s="229"/>
      <c r="F52" s="229"/>
      <c r="G52" s="229"/>
      <c r="H52" s="229"/>
      <c r="I52" s="229"/>
      <c r="J52" s="229"/>
      <c r="K52" s="128"/>
    </row>
    <row r="53" spans="1:11" ht="15" customHeight="1">
      <c r="A53" s="211"/>
      <c r="B53" s="356" t="s">
        <v>114</v>
      </c>
      <c r="C53" s="356"/>
      <c r="D53" s="231" t="s">
        <v>137</v>
      </c>
      <c r="E53" s="231" t="s">
        <v>138</v>
      </c>
      <c r="F53" s="231" t="s">
        <v>139</v>
      </c>
      <c r="G53" s="229"/>
      <c r="H53" s="344" t="s">
        <v>140</v>
      </c>
      <c r="I53" s="231" t="s">
        <v>141</v>
      </c>
      <c r="J53" s="231" t="s">
        <v>142</v>
      </c>
      <c r="K53" s="128"/>
    </row>
    <row r="54" spans="1:11" ht="15" customHeight="1" thickBot="1">
      <c r="A54" s="211"/>
      <c r="B54" s="237" t="str">
        <f>_xlfn.CONCAT($D$3, "/L")</f>
        <v>UGX/L</v>
      </c>
      <c r="C54" s="237" t="str">
        <f>_xlfn.CONCAT($D$4, "/L")</f>
        <v>USD/L</v>
      </c>
      <c r="D54" s="237" t="s">
        <v>143</v>
      </c>
      <c r="E54" s="237" t="s">
        <v>144</v>
      </c>
      <c r="F54" s="238" t="str">
        <f>_xlfn.CONCAT(D3, "/month")</f>
        <v>UGX/month</v>
      </c>
      <c r="G54" s="229"/>
      <c r="H54" s="345"/>
      <c r="I54" s="237" t="str">
        <f>_xlfn.CONCAT(D3, "/m3")</f>
        <v>UGX/m3</v>
      </c>
      <c r="J54" s="237" t="str">
        <f>_xlfn.CONCAT(D3, "/container")</f>
        <v>UGX/container</v>
      </c>
      <c r="K54" s="128"/>
    </row>
    <row r="55" spans="1:11" ht="15" customHeight="1" thickTop="1">
      <c r="A55" s="211"/>
      <c r="B55" s="239"/>
      <c r="C55" s="239">
        <v>1.05</v>
      </c>
      <c r="D55" s="240">
        <v>8</v>
      </c>
      <c r="E55" s="241">
        <v>500</v>
      </c>
      <c r="F55" s="242">
        <f>IF(B55&gt;0, B55/D55*E55, C55*D5/D55*E55)</f>
        <v>229687.5</v>
      </c>
      <c r="G55" s="229"/>
      <c r="H55" s="243">
        <v>1</v>
      </c>
      <c r="I55" s="244" t="str">
        <f>IFERROR(J55/'Financial Sustainability Work'!E14*1000, "")</f>
        <v/>
      </c>
      <c r="J55" s="245" t="str">
        <f>IFERROR((F55+D61*D5/C61/12+IF(G61&gt;0, G61, F61/12)+IF(J61&gt;0, J61, I61))/('Financial Sustainability Work'!F23*30*H55), "")</f>
        <v/>
      </c>
      <c r="K55" s="128"/>
    </row>
    <row r="56" spans="1:11" ht="15" customHeight="1" thickBot="1">
      <c r="A56" s="211"/>
      <c r="B56" s="229"/>
      <c r="C56" s="229"/>
      <c r="D56" s="229"/>
      <c r="E56" s="229"/>
      <c r="F56" s="246" t="str">
        <f>_xlfn.CONCAT(D4, "/month")</f>
        <v>USD/month</v>
      </c>
      <c r="G56" s="229"/>
      <c r="H56" s="229"/>
      <c r="I56" s="237" t="str">
        <f>_xlfn.CONCAT(D4, "/m3")</f>
        <v>USD/m3</v>
      </c>
      <c r="J56" s="237" t="str">
        <f>_xlfn.CONCAT(D4, "/container")</f>
        <v>USD/container</v>
      </c>
      <c r="K56" s="128"/>
    </row>
    <row r="57" spans="1:11" ht="15" customHeight="1" thickTop="1">
      <c r="A57" s="211"/>
      <c r="B57" s="229"/>
      <c r="C57" s="229"/>
      <c r="D57" s="229"/>
      <c r="E57" s="229"/>
      <c r="F57" s="247">
        <f>IFERROR(F55/$D$5, "")</f>
        <v>65.625</v>
      </c>
      <c r="G57" s="229"/>
      <c r="H57" s="229"/>
      <c r="I57" s="248" t="str">
        <f>IFERROR(I55/$D$5, "")</f>
        <v/>
      </c>
      <c r="J57" s="249" t="str">
        <f>IFERROR(J55/$D$5, "")</f>
        <v/>
      </c>
      <c r="K57" s="128"/>
    </row>
    <row r="58" spans="1:11" ht="15" customHeight="1">
      <c r="A58" s="211"/>
      <c r="B58" s="229"/>
      <c r="C58" s="229"/>
      <c r="D58" s="229"/>
      <c r="E58" s="229"/>
      <c r="F58" s="229"/>
      <c r="G58" s="229"/>
      <c r="H58" s="229"/>
      <c r="I58" s="229"/>
      <c r="J58" s="229"/>
      <c r="K58" s="128"/>
    </row>
    <row r="59" spans="1:11" ht="15" customHeight="1">
      <c r="A59" s="211"/>
      <c r="B59" s="229"/>
      <c r="C59" s="231" t="s">
        <v>145</v>
      </c>
      <c r="D59" s="231" t="s">
        <v>146</v>
      </c>
      <c r="E59" s="229"/>
      <c r="F59" s="250" t="s">
        <v>89</v>
      </c>
      <c r="G59" s="229"/>
      <c r="H59" s="229"/>
      <c r="I59" s="231" t="s">
        <v>147</v>
      </c>
      <c r="J59" s="251"/>
      <c r="K59" s="128"/>
    </row>
    <row r="60" spans="1:11" ht="15" customHeight="1" thickBot="1">
      <c r="A60" s="211"/>
      <c r="B60" s="229"/>
      <c r="C60" s="237" t="s">
        <v>148</v>
      </c>
      <c r="D60" s="237" t="str">
        <f>D4</f>
        <v>USD</v>
      </c>
      <c r="E60" s="229"/>
      <c r="F60" s="237" t="str">
        <f>_xlfn.CONCAT(D3, "/year")</f>
        <v>UGX/year</v>
      </c>
      <c r="G60" s="214" t="str">
        <f>IFERROR(_xlfn.CONCAT(D3, "/month"), "")</f>
        <v>UGX/month</v>
      </c>
      <c r="H60" s="229"/>
      <c r="I60" s="237" t="str">
        <f>_xlfn.CONCAT(D3, "/year")</f>
        <v>UGX/year</v>
      </c>
      <c r="J60" s="214" t="str">
        <f>IFERROR(_xlfn.CONCAT(D3, "/month"), "")</f>
        <v>UGX/month</v>
      </c>
      <c r="K60" s="128"/>
    </row>
    <row r="61" spans="1:11" ht="15" customHeight="1" thickTop="1">
      <c r="A61" s="211"/>
      <c r="B61" s="229"/>
      <c r="C61" s="252">
        <v>10</v>
      </c>
      <c r="D61" s="253">
        <v>3000</v>
      </c>
      <c r="E61" s="229"/>
      <c r="F61" s="254"/>
      <c r="G61" s="255">
        <v>2000</v>
      </c>
      <c r="H61" s="229"/>
      <c r="I61" s="254">
        <v>2000</v>
      </c>
      <c r="J61" s="255"/>
      <c r="K61" s="128"/>
    </row>
    <row r="62" spans="1:11" ht="15" customHeight="1">
      <c r="A62" s="211"/>
      <c r="B62" s="229"/>
      <c r="C62" s="229"/>
      <c r="D62" s="229"/>
      <c r="E62" s="229"/>
      <c r="F62" s="229"/>
      <c r="G62" s="229"/>
      <c r="H62" s="256"/>
      <c r="I62" s="256"/>
      <c r="J62" s="256"/>
      <c r="K62" s="128"/>
    </row>
    <row r="63" spans="1:11" ht="15" customHeight="1">
      <c r="A63" s="257"/>
      <c r="B63" s="183"/>
      <c r="C63" s="183"/>
      <c r="D63" s="183"/>
      <c r="E63" s="183"/>
      <c r="F63" s="183"/>
      <c r="G63" s="183"/>
      <c r="H63" s="183"/>
      <c r="I63" s="183"/>
      <c r="J63" s="183"/>
      <c r="K63" s="184"/>
    </row>
  </sheetData>
  <sheetProtection sheet="1" objects="1" scenarios="1"/>
  <mergeCells count="34">
    <mergeCell ref="B41:D41"/>
    <mergeCell ref="B34:D34"/>
    <mergeCell ref="B36:E36"/>
    <mergeCell ref="B37:E37"/>
    <mergeCell ref="B38:E38"/>
    <mergeCell ref="H53:H54"/>
    <mergeCell ref="B45:C45"/>
    <mergeCell ref="B46:C46"/>
    <mergeCell ref="D46:E46"/>
    <mergeCell ref="B48:C48"/>
    <mergeCell ref="D48:E48"/>
    <mergeCell ref="B47:C47"/>
    <mergeCell ref="D47:E47"/>
    <mergeCell ref="F45:G45"/>
    <mergeCell ref="H43:H45"/>
    <mergeCell ref="D44:E44"/>
    <mergeCell ref="F43:G43"/>
    <mergeCell ref="D45:E45"/>
    <mergeCell ref="B53:C53"/>
    <mergeCell ref="E28:F28"/>
    <mergeCell ref="C18:D18"/>
    <mergeCell ref="E18:G18"/>
    <mergeCell ref="E19:F19"/>
    <mergeCell ref="E20:F20"/>
    <mergeCell ref="C26:D26"/>
    <mergeCell ref="B3:C3"/>
    <mergeCell ref="B5:C5"/>
    <mergeCell ref="F10:H10"/>
    <mergeCell ref="B16:D16"/>
    <mergeCell ref="B24:D24"/>
    <mergeCell ref="B4:C4"/>
    <mergeCell ref="B10:E10"/>
    <mergeCell ref="E26:F26"/>
    <mergeCell ref="E27:F27"/>
  </mergeCells>
  <conditionalFormatting sqref="H46:H48">
    <cfRule type="containsText" dxfId="20" priority="1" operator="containsText" text="0000">
      <formula>NOT(ISERROR(SEARCH("0000",H46)))</formula>
    </cfRule>
    <cfRule type="notContainsBlanks" dxfId="19" priority="2">
      <formula>LEN(TRIM(H46))&gt;0</formula>
    </cfRule>
  </conditionalFormatting>
  <conditionalFormatting sqref="I20">
    <cfRule type="cellIs" dxfId="18" priority="11" operator="greaterThan">
      <formula>1000</formula>
    </cfRule>
  </conditionalFormatting>
  <conditionalFormatting sqref="I28">
    <cfRule type="cellIs" dxfId="17" priority="10" operator="greaterThan">
      <formula>1000</formula>
    </cfRule>
  </conditionalFormatting>
  <hyperlinks>
    <hyperlink ref="F57" location="'Financial Summary Worksheet'!J29" display="'Financial Summary Worksheet'!J29" xr:uid="{54D724C2-B9B8-4281-B0A2-996F39AFAF58}"/>
    <hyperlink ref="F55" location="'Financial Summary Worksheet'!I29" display="'Financial Summary Worksheet'!I29" xr:uid="{91944D9F-C214-4505-AE74-194F5B639C95}"/>
  </hyperlinks>
  <pageMargins left="0.75" right="0.75" top="0.75" bottom="0.75" header="0.3" footer="0.3"/>
  <pageSetup scale="60" orientation="portrait" r:id="rId1"/>
  <headerFooter>
    <oddHeader>&amp;L&amp;"-,Bold"&amp;K3155A4Example Community - Safe Water Project Operational and Replacement Costs
Page 2: Unit Cost Worksheet&amp;R&amp;G&amp;K00+000j</oddHeader>
    <oddFooter>&amp;L&amp;8&amp;K3155A4&amp;Z&amp;F&amp;R&amp;8&amp;K3155A4(Rev11_) &amp;D</oddFoot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2F67-3CD3-E64C-8766-C009129F6C15}">
  <dimension ref="A1:D18"/>
  <sheetViews>
    <sheetView workbookViewId="0"/>
  </sheetViews>
  <sheetFormatPr defaultColWidth="11.42578125" defaultRowHeight="15"/>
  <cols>
    <col min="1" max="1" width="25.28515625" customWidth="1"/>
    <col min="2" max="3" width="29.140625" style="114" customWidth="1"/>
  </cols>
  <sheetData>
    <row r="1" spans="1:4" s="261" customFormat="1" ht="24.95" customHeight="1">
      <c r="A1" s="400" t="s">
        <v>66</v>
      </c>
      <c r="B1" s="260"/>
      <c r="C1" s="260"/>
      <c r="D1" s="260"/>
    </row>
    <row r="2" spans="1:4" s="261" customFormat="1" ht="24.95" customHeight="1">
      <c r="A2" s="259"/>
      <c r="B2" s="260"/>
      <c r="C2" s="260"/>
      <c r="D2" s="260"/>
    </row>
    <row r="3" spans="1:4" s="261" customFormat="1" ht="24.95" customHeight="1">
      <c r="A3" s="358" t="s">
        <v>149</v>
      </c>
      <c r="B3" s="358"/>
      <c r="C3" s="262"/>
    </row>
    <row r="4" spans="1:4" s="261" customFormat="1" ht="24.95" customHeight="1">
      <c r="A4" s="358" t="s">
        <v>150</v>
      </c>
      <c r="B4" s="358"/>
      <c r="C4" s="262"/>
    </row>
    <row r="5" spans="1:4" s="261" customFormat="1" ht="24.95" customHeight="1">
      <c r="A5" s="358" t="s">
        <v>151</v>
      </c>
      <c r="B5" s="358"/>
    </row>
    <row r="7" spans="1:4" ht="50.1" customHeight="1">
      <c r="A7" s="263" t="s">
        <v>152</v>
      </c>
      <c r="B7" s="263" t="s">
        <v>153</v>
      </c>
      <c r="C7" s="263" t="s">
        <v>154</v>
      </c>
    </row>
    <row r="8" spans="1:4" s="113" customFormat="1" ht="20.100000000000001" customHeight="1">
      <c r="A8" s="264" t="s">
        <v>155</v>
      </c>
      <c r="B8" s="258" t="s">
        <v>156</v>
      </c>
      <c r="C8" s="258" t="s">
        <v>157</v>
      </c>
    </row>
    <row r="9" spans="1:4" s="113" customFormat="1" ht="41.1" customHeight="1">
      <c r="A9" s="265" t="s">
        <v>158</v>
      </c>
      <c r="B9" s="258">
        <v>3</v>
      </c>
      <c r="C9" s="258" t="s">
        <v>157</v>
      </c>
    </row>
    <row r="10" spans="1:4" s="113" customFormat="1" ht="20.100000000000001" customHeight="1">
      <c r="A10" s="264" t="s">
        <v>159</v>
      </c>
      <c r="B10" s="258" t="s">
        <v>160</v>
      </c>
      <c r="C10" s="258" t="s">
        <v>157</v>
      </c>
    </row>
    <row r="11" spans="1:4" s="113" customFormat="1" ht="20.100000000000001" customHeight="1">
      <c r="A11" s="264" t="s">
        <v>161</v>
      </c>
      <c r="B11" s="258" t="s">
        <v>162</v>
      </c>
      <c r="C11" s="258" t="s">
        <v>157</v>
      </c>
    </row>
    <row r="12" spans="1:4" s="113" customFormat="1" ht="20.100000000000001" customHeight="1">
      <c r="A12" s="264" t="s">
        <v>163</v>
      </c>
      <c r="B12" s="258" t="s">
        <v>162</v>
      </c>
      <c r="C12" s="258" t="s">
        <v>157</v>
      </c>
    </row>
    <row r="13" spans="1:4" s="113" customFormat="1" ht="20.100000000000001" customHeight="1">
      <c r="A13" s="264" t="s">
        <v>164</v>
      </c>
      <c r="B13" s="258" t="s">
        <v>165</v>
      </c>
      <c r="C13" s="258" t="s">
        <v>157</v>
      </c>
    </row>
    <row r="14" spans="1:4" s="113" customFormat="1" ht="20.100000000000001" customHeight="1">
      <c r="A14" s="264" t="s">
        <v>166</v>
      </c>
      <c r="B14" s="258" t="s">
        <v>167</v>
      </c>
      <c r="C14" s="258" t="s">
        <v>157</v>
      </c>
    </row>
    <row r="15" spans="1:4" s="113" customFormat="1" ht="20.100000000000001" customHeight="1">
      <c r="A15" s="264" t="s">
        <v>168</v>
      </c>
      <c r="B15" s="258" t="s">
        <v>169</v>
      </c>
      <c r="C15" s="258" t="s">
        <v>157</v>
      </c>
    </row>
    <row r="16" spans="1:4" s="113" customFormat="1" ht="20.100000000000001" customHeight="1">
      <c r="A16" s="264" t="s">
        <v>170</v>
      </c>
      <c r="B16" s="258" t="s">
        <v>171</v>
      </c>
      <c r="C16" s="258" t="s">
        <v>157</v>
      </c>
    </row>
    <row r="17" spans="1:3" s="113" customFormat="1" ht="20.100000000000001" customHeight="1">
      <c r="A17" s="264" t="s">
        <v>172</v>
      </c>
      <c r="B17" s="258" t="s">
        <v>171</v>
      </c>
      <c r="C17" s="258" t="s">
        <v>157</v>
      </c>
    </row>
    <row r="18" spans="1:3" s="113" customFormat="1" ht="20.100000000000001" customHeight="1">
      <c r="A18" s="264" t="s">
        <v>173</v>
      </c>
      <c r="B18" s="258" t="s">
        <v>174</v>
      </c>
      <c r="C18" s="258" t="s">
        <v>157</v>
      </c>
    </row>
  </sheetData>
  <mergeCells count="3">
    <mergeCell ref="A3:B3"/>
    <mergeCell ref="A4:B4"/>
    <mergeCell ref="A5:B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1"/>
  <sheetViews>
    <sheetView zoomScale="85" zoomScaleNormal="85" zoomScalePageLayoutView="85" workbookViewId="0">
      <selection activeCell="H39" sqref="H39:M39"/>
    </sheetView>
  </sheetViews>
  <sheetFormatPr defaultColWidth="4.7109375" defaultRowHeight="18" customHeight="1"/>
  <cols>
    <col min="1" max="1" width="5.42578125" style="1" customWidth="1"/>
    <col min="2" max="13" width="6.7109375" style="1" customWidth="1"/>
    <col min="14" max="14" width="5.42578125" style="1" customWidth="1"/>
    <col min="15" max="27" width="6.7109375" style="1" customWidth="1"/>
    <col min="28" max="28" width="5.42578125" style="1" customWidth="1"/>
    <col min="29" max="16384" width="4.7109375" style="1"/>
  </cols>
  <sheetData>
    <row r="1" spans="1:26" ht="11.1" customHeight="1">
      <c r="A1" s="2"/>
      <c r="B1" s="3"/>
      <c r="C1" s="3"/>
      <c r="D1" s="3"/>
      <c r="E1" s="3"/>
      <c r="F1" s="3"/>
      <c r="G1" s="3"/>
      <c r="H1" s="3"/>
      <c r="I1" s="3"/>
      <c r="J1" s="3"/>
      <c r="K1" s="3"/>
      <c r="L1" s="3"/>
      <c r="M1" s="4"/>
      <c r="N1" s="2"/>
      <c r="O1" s="3"/>
      <c r="P1" s="3"/>
      <c r="Q1" s="3"/>
      <c r="R1" s="3"/>
      <c r="S1" s="3"/>
      <c r="T1" s="3"/>
      <c r="U1" s="3"/>
      <c r="V1" s="3"/>
      <c r="W1" s="3"/>
      <c r="X1" s="3"/>
      <c r="Y1" s="3"/>
      <c r="Z1" s="4"/>
    </row>
    <row r="2" spans="1:26" ht="17.25" customHeight="1">
      <c r="A2" s="5"/>
      <c r="B2" s="6"/>
      <c r="C2" s="6"/>
      <c r="D2" s="6"/>
      <c r="E2" s="82" t="s">
        <v>175</v>
      </c>
      <c r="F2" s="67" t="s">
        <v>16</v>
      </c>
      <c r="G2" s="68" t="s">
        <v>176</v>
      </c>
      <c r="H2" s="99">
        <f>'Financial Sustainability Work'!F62</f>
        <v>0</v>
      </c>
      <c r="I2" s="6"/>
      <c r="J2" s="6"/>
      <c r="K2" s="6"/>
      <c r="L2" s="6"/>
      <c r="M2" s="7"/>
      <c r="N2" s="5"/>
      <c r="O2" s="98"/>
      <c r="P2" s="6"/>
      <c r="Q2" s="6"/>
      <c r="R2" s="82" t="s">
        <v>175</v>
      </c>
      <c r="S2" s="67" t="str">
        <f>'Financial Sustainability Work'!E9</f>
        <v>UGX</v>
      </c>
      <c r="T2" s="68" t="s">
        <v>176</v>
      </c>
      <c r="U2" s="100">
        <f>'Financial Sustainability Work'!E62</f>
        <v>0</v>
      </c>
      <c r="V2" s="6"/>
      <c r="W2" s="6"/>
      <c r="X2" s="6"/>
      <c r="Y2" s="6"/>
      <c r="Z2" s="7"/>
    </row>
    <row r="3" spans="1:26" ht="11.1" customHeight="1">
      <c r="A3" s="5"/>
      <c r="B3" s="6"/>
      <c r="C3" s="6"/>
      <c r="D3" s="6"/>
      <c r="E3" s="6"/>
      <c r="F3" s="6"/>
      <c r="G3" s="6"/>
      <c r="H3" s="6"/>
      <c r="I3" s="6"/>
      <c r="J3" s="6"/>
      <c r="K3" s="6"/>
      <c r="L3" s="6"/>
      <c r="M3" s="7"/>
      <c r="N3" s="5"/>
      <c r="O3" s="6"/>
      <c r="P3" s="6"/>
      <c r="Q3" s="6"/>
      <c r="R3" s="6"/>
      <c r="S3" s="6"/>
      <c r="T3" s="6"/>
      <c r="U3" s="6"/>
      <c r="V3" s="6"/>
      <c r="W3" s="6"/>
      <c r="X3" s="6"/>
      <c r="Y3" s="6"/>
      <c r="Z3" s="7"/>
    </row>
    <row r="4" spans="1:26" ht="17.25" customHeight="1">
      <c r="A4" s="5"/>
      <c r="B4" s="377" t="s">
        <v>177</v>
      </c>
      <c r="C4" s="377"/>
      <c r="D4" s="377"/>
      <c r="E4" s="377"/>
      <c r="F4" s="67" t="s">
        <v>16</v>
      </c>
      <c r="G4" s="68" t="s">
        <v>178</v>
      </c>
      <c r="H4" s="376" t="s">
        <v>179</v>
      </c>
      <c r="I4" s="376"/>
      <c r="J4" s="69">
        <f>'Financial Sustainability Work'!$E$14</f>
        <v>0</v>
      </c>
      <c r="K4" s="70" t="s">
        <v>22</v>
      </c>
      <c r="L4" s="6"/>
      <c r="M4" s="7"/>
      <c r="N4" s="5"/>
      <c r="O4" s="377" t="s">
        <v>177</v>
      </c>
      <c r="P4" s="377"/>
      <c r="Q4" s="377"/>
      <c r="R4" s="377"/>
      <c r="S4" s="67" t="str">
        <f>'Financial Sustainability Work'!E9</f>
        <v>UGX</v>
      </c>
      <c r="T4" s="68" t="s">
        <v>178</v>
      </c>
      <c r="U4" s="376" t="s">
        <v>179</v>
      </c>
      <c r="V4" s="376"/>
      <c r="W4" s="69">
        <f>'Financial Sustainability Work'!$E$14</f>
        <v>0</v>
      </c>
      <c r="X4" s="70" t="s">
        <v>22</v>
      </c>
      <c r="Y4" s="6"/>
      <c r="Z4" s="7"/>
    </row>
    <row r="5" spans="1:26" ht="17.25" customHeight="1">
      <c r="A5" s="5"/>
      <c r="B5" s="372" t="s">
        <v>180</v>
      </c>
      <c r="C5" s="373"/>
      <c r="D5" s="359" t="s">
        <v>181</v>
      </c>
      <c r="E5" s="360"/>
      <c r="F5" s="360"/>
      <c r="G5" s="360"/>
      <c r="H5" s="360"/>
      <c r="I5" s="361"/>
      <c r="J5" s="372" t="s">
        <v>182</v>
      </c>
      <c r="K5" s="372"/>
      <c r="L5" s="6"/>
      <c r="M5" s="7"/>
      <c r="N5" s="5"/>
      <c r="O5" s="372" t="s">
        <v>180</v>
      </c>
      <c r="P5" s="372"/>
      <c r="Q5" s="359" t="s">
        <v>181</v>
      </c>
      <c r="R5" s="360"/>
      <c r="S5" s="360"/>
      <c r="T5" s="360"/>
      <c r="U5" s="360"/>
      <c r="V5" s="361"/>
      <c r="W5" s="372" t="s">
        <v>182</v>
      </c>
      <c r="X5" s="372"/>
      <c r="Y5" s="6"/>
      <c r="Z5" s="7"/>
    </row>
    <row r="6" spans="1:26" ht="17.25" customHeight="1">
      <c r="A6" s="5"/>
      <c r="B6" s="374"/>
      <c r="C6" s="375"/>
      <c r="D6" s="17">
        <v>1</v>
      </c>
      <c r="E6" s="18">
        <v>2</v>
      </c>
      <c r="F6" s="18">
        <v>3</v>
      </c>
      <c r="G6" s="18">
        <v>4</v>
      </c>
      <c r="H6" s="18">
        <v>5</v>
      </c>
      <c r="I6" s="19">
        <v>6</v>
      </c>
      <c r="J6" s="51" t="s">
        <v>183</v>
      </c>
      <c r="K6" s="51" t="s">
        <v>184</v>
      </c>
      <c r="L6" s="6"/>
      <c r="M6" s="7"/>
      <c r="N6" s="5"/>
      <c r="O6" s="374"/>
      <c r="P6" s="374"/>
      <c r="Q6" s="17">
        <v>1</v>
      </c>
      <c r="R6" s="18">
        <v>2</v>
      </c>
      <c r="S6" s="18">
        <v>3</v>
      </c>
      <c r="T6" s="18">
        <v>4</v>
      </c>
      <c r="U6" s="18">
        <v>5</v>
      </c>
      <c r="V6" s="19">
        <v>6</v>
      </c>
      <c r="W6" s="51" t="s">
        <v>183</v>
      </c>
      <c r="X6" s="51" t="s">
        <v>184</v>
      </c>
      <c r="Y6" s="6"/>
      <c r="Z6" s="7"/>
    </row>
    <row r="7" spans="1:26" ht="17.25" customHeight="1">
      <c r="A7" s="5"/>
      <c r="B7" s="370">
        <v>10</v>
      </c>
      <c r="C7" s="371"/>
      <c r="D7" s="29" t="e">
        <f>('Financial Sustainability Work'!$E$14/1000)*('Financial Sustainability Work'!#REF!+('Financial Sustainability Work'!$H$41*1000/('Breakeven Analysis'!D$16*'Breakeven Analysis'!$J7*30))+('Financial Sustainability Work'!$H$56*1000/('Breakeven Analysis'!D$16*'Breakeven Analysis'!$J7*30)))</f>
        <v>#REF!</v>
      </c>
      <c r="E7" s="14" t="e">
        <f>('Financial Sustainability Work'!$E$14/1000)*('Financial Sustainability Work'!#REF!+('Financial Sustainability Work'!$H$41*1000/('Breakeven Analysis'!E$16*'Breakeven Analysis'!$J7*30))+('Financial Sustainability Work'!$H$56*1000/('Breakeven Analysis'!E$16*'Breakeven Analysis'!$J7*30)))</f>
        <v>#REF!</v>
      </c>
      <c r="F7" s="14" t="e">
        <f>('Financial Sustainability Work'!$E$14/1000)*('Financial Sustainability Work'!#REF!+('Financial Sustainability Work'!$H$41*1000/('Breakeven Analysis'!F$16*'Breakeven Analysis'!$J7*30))+('Financial Sustainability Work'!$H$56*1000/('Breakeven Analysis'!F$16*'Breakeven Analysis'!$J7*30)))</f>
        <v>#REF!</v>
      </c>
      <c r="G7" s="14" t="e">
        <f>('Financial Sustainability Work'!$E$14/1000)*('Financial Sustainability Work'!#REF!+('Financial Sustainability Work'!$H$41*1000/('Breakeven Analysis'!G$16*'Breakeven Analysis'!$J7*30))+('Financial Sustainability Work'!$H$56*1000/('Breakeven Analysis'!G$16*'Breakeven Analysis'!$J7*30)))</f>
        <v>#REF!</v>
      </c>
      <c r="H7" s="14" t="e">
        <f>('Financial Sustainability Work'!$E$14/1000)*('Financial Sustainability Work'!#REF!+('Financial Sustainability Work'!$H$41*1000/('Breakeven Analysis'!H$16*'Breakeven Analysis'!$J7*30))+('Financial Sustainability Work'!$H$56*1000/('Breakeven Analysis'!H$16*'Breakeven Analysis'!$J7*30)))</f>
        <v>#REF!</v>
      </c>
      <c r="I7" s="106" t="e">
        <f>('Financial Sustainability Work'!$E$14/1000)*('Financial Sustainability Work'!#REF!+('Financial Sustainability Work'!$H$41*1000/('Breakeven Analysis'!I$16*'Breakeven Analysis'!$J7*30))+('Financial Sustainability Work'!$H$56*1000/('Breakeven Analysis'!I$16*'Breakeven Analysis'!$J7*30)))</f>
        <v>#REF!</v>
      </c>
      <c r="J7" s="13">
        <f>(B7/100)*'Financial Sustainability Work'!$E$4</f>
        <v>0</v>
      </c>
      <c r="K7" s="13">
        <f>(B7/100)*'Financial Sustainability Work'!$E$6</f>
        <v>0</v>
      </c>
      <c r="L7" s="6"/>
      <c r="M7" s="7"/>
      <c r="N7" s="5"/>
      <c r="O7" s="370">
        <v>10</v>
      </c>
      <c r="P7" s="370"/>
      <c r="Q7" s="34" t="e">
        <f>D7*'Financial Sustainability Work'!$E$13</f>
        <v>#REF!</v>
      </c>
      <c r="R7" s="31" t="e">
        <f>E7*'Financial Sustainability Work'!$E$13</f>
        <v>#REF!</v>
      </c>
      <c r="S7" s="31" t="e">
        <f>F7*'Financial Sustainability Work'!$E$13</f>
        <v>#REF!</v>
      </c>
      <c r="T7" s="31" t="e">
        <f>G7*'Financial Sustainability Work'!$E$13</f>
        <v>#REF!</v>
      </c>
      <c r="U7" s="31" t="e">
        <f>H7*'Financial Sustainability Work'!$E$13</f>
        <v>#REF!</v>
      </c>
      <c r="V7" s="35" t="e">
        <f>I7*'Financial Sustainability Work'!$E$13</f>
        <v>#REF!</v>
      </c>
      <c r="W7" s="13">
        <f>(O7/100)*'Financial Sustainability Work'!$E$4</f>
        <v>0</v>
      </c>
      <c r="X7" s="13">
        <f>(O7/100)*'Financial Sustainability Work'!$E$6</f>
        <v>0</v>
      </c>
      <c r="Y7" s="6"/>
      <c r="Z7" s="7"/>
    </row>
    <row r="8" spans="1:26" ht="17.25" customHeight="1">
      <c r="A8" s="5"/>
      <c r="B8" s="362">
        <v>20</v>
      </c>
      <c r="C8" s="363"/>
      <c r="D8" s="107" t="e">
        <f>('Financial Sustainability Work'!$E$14/1000)*('Financial Sustainability Work'!#REF!+('Financial Sustainability Work'!$H$41*1000/('Breakeven Analysis'!D$16*'Breakeven Analysis'!$J8*30))+('Financial Sustainability Work'!$H$56*1000/('Breakeven Analysis'!D$16*'Breakeven Analysis'!$J8*30)))</f>
        <v>#REF!</v>
      </c>
      <c r="E8" s="108" t="e">
        <f>('Financial Sustainability Work'!$E$14/1000)*('Financial Sustainability Work'!#REF!+('Financial Sustainability Work'!$H$41*1000/('Breakeven Analysis'!E$16*'Breakeven Analysis'!$J8*30))+('Financial Sustainability Work'!$H$56*1000/('Breakeven Analysis'!E$16*'Breakeven Analysis'!$J8*30)))</f>
        <v>#REF!</v>
      </c>
      <c r="F8" s="108" t="e">
        <f>('Financial Sustainability Work'!$E$14/1000)*('Financial Sustainability Work'!#REF!+('Financial Sustainability Work'!$H$41*1000/('Breakeven Analysis'!F$16*'Breakeven Analysis'!$J8*30))+('Financial Sustainability Work'!$H$56*1000/('Breakeven Analysis'!F$16*'Breakeven Analysis'!$J8*30)))</f>
        <v>#REF!</v>
      </c>
      <c r="G8" s="108" t="e">
        <f>('Financial Sustainability Work'!$E$14/1000)*('Financial Sustainability Work'!#REF!+('Financial Sustainability Work'!$H$41*1000/('Breakeven Analysis'!G$16*'Breakeven Analysis'!$J8*30))+('Financial Sustainability Work'!$H$56*1000/('Breakeven Analysis'!G$16*'Breakeven Analysis'!$J8*30)))</f>
        <v>#REF!</v>
      </c>
      <c r="H8" s="108" t="e">
        <f>('Financial Sustainability Work'!$E$14/1000)*('Financial Sustainability Work'!#REF!+('Financial Sustainability Work'!$H$41*1000/('Breakeven Analysis'!H$16*'Breakeven Analysis'!$J8*30))+('Financial Sustainability Work'!$H$56*1000/('Breakeven Analysis'!H$16*'Breakeven Analysis'!$J8*30)))</f>
        <v>#REF!</v>
      </c>
      <c r="I8" s="109" t="e">
        <f>('Financial Sustainability Work'!$E$14/1000)*('Financial Sustainability Work'!#REF!+('Financial Sustainability Work'!$H$41*1000/('Breakeven Analysis'!I$16*'Breakeven Analysis'!$J8*30))+('Financial Sustainability Work'!$H$56*1000/('Breakeven Analysis'!I$16*'Breakeven Analysis'!$J8*30)))</f>
        <v>#REF!</v>
      </c>
      <c r="J8" s="20">
        <f>(B8/100)*'Financial Sustainability Work'!$E$4</f>
        <v>0</v>
      </c>
      <c r="K8" s="20">
        <f>(B8/100)*'Financial Sustainability Work'!$E$6</f>
        <v>0</v>
      </c>
      <c r="L8" s="6"/>
      <c r="M8" s="7"/>
      <c r="N8" s="5"/>
      <c r="O8" s="362">
        <v>20</v>
      </c>
      <c r="P8" s="362"/>
      <c r="Q8" s="36" t="e">
        <f>D8*'Financial Sustainability Work'!$E$13</f>
        <v>#REF!</v>
      </c>
      <c r="R8" s="30" t="e">
        <f>E8*'Financial Sustainability Work'!$E$13</f>
        <v>#REF!</v>
      </c>
      <c r="S8" s="30" t="e">
        <f>F8*'Financial Sustainability Work'!$E$13</f>
        <v>#REF!</v>
      </c>
      <c r="T8" s="30" t="e">
        <f>G8*'Financial Sustainability Work'!$E$13</f>
        <v>#REF!</v>
      </c>
      <c r="U8" s="30" t="e">
        <f>H8*'Financial Sustainability Work'!$E$13</f>
        <v>#REF!</v>
      </c>
      <c r="V8" s="37" t="e">
        <f>I8*'Financial Sustainability Work'!$E$13</f>
        <v>#REF!</v>
      </c>
      <c r="W8" s="20">
        <f>(O8/100)*'Financial Sustainability Work'!$E$4</f>
        <v>0</v>
      </c>
      <c r="X8" s="20">
        <f>(O8/100)*'Financial Sustainability Work'!$E$6</f>
        <v>0</v>
      </c>
      <c r="Y8" s="6"/>
      <c r="Z8" s="7"/>
    </row>
    <row r="9" spans="1:26" ht="17.25" customHeight="1">
      <c r="A9" s="5"/>
      <c r="B9" s="364">
        <v>30</v>
      </c>
      <c r="C9" s="365"/>
      <c r="D9" s="29" t="e">
        <f>('Financial Sustainability Work'!$E$14/1000)*('Financial Sustainability Work'!#REF!+('Financial Sustainability Work'!$H$41*1000/('Breakeven Analysis'!D$16*'Breakeven Analysis'!$J9*30))+('Financial Sustainability Work'!$H$56*1000/('Breakeven Analysis'!D$16*'Breakeven Analysis'!$J9*30)))</f>
        <v>#REF!</v>
      </c>
      <c r="E9" s="14" t="e">
        <f>('Financial Sustainability Work'!$E$14/1000)*('Financial Sustainability Work'!#REF!+('Financial Sustainability Work'!$H$41*1000/('Breakeven Analysis'!E$16*'Breakeven Analysis'!$J9*30))+('Financial Sustainability Work'!$H$56*1000/('Breakeven Analysis'!E$16*'Breakeven Analysis'!$J9*30)))</f>
        <v>#REF!</v>
      </c>
      <c r="F9" s="14" t="e">
        <f>('Financial Sustainability Work'!$E$14/1000)*('Financial Sustainability Work'!#REF!+('Financial Sustainability Work'!$H$41*1000/('Breakeven Analysis'!F$16*'Breakeven Analysis'!$J9*30))+('Financial Sustainability Work'!$H$56*1000/('Breakeven Analysis'!F$16*'Breakeven Analysis'!$J9*30)))</f>
        <v>#REF!</v>
      </c>
      <c r="G9" s="14" t="e">
        <f>('Financial Sustainability Work'!$E$14/1000)*('Financial Sustainability Work'!#REF!+('Financial Sustainability Work'!$H$41*1000/('Breakeven Analysis'!G$16*'Breakeven Analysis'!$J9*30))+('Financial Sustainability Work'!$H$56*1000/('Breakeven Analysis'!G$16*'Breakeven Analysis'!$J9*30)))</f>
        <v>#REF!</v>
      </c>
      <c r="H9" s="14" t="e">
        <f>('Financial Sustainability Work'!$E$14/1000)*('Financial Sustainability Work'!#REF!+('Financial Sustainability Work'!$H$41*1000/('Breakeven Analysis'!H$16*'Breakeven Analysis'!$J9*30))+('Financial Sustainability Work'!$H$56*1000/('Breakeven Analysis'!H$16*'Breakeven Analysis'!$J9*30)))</f>
        <v>#REF!</v>
      </c>
      <c r="I9" s="106" t="e">
        <f>('Financial Sustainability Work'!$E$14/1000)*('Financial Sustainability Work'!#REF!+('Financial Sustainability Work'!$H$41*1000/('Breakeven Analysis'!I$16*'Breakeven Analysis'!$J9*30))+('Financial Sustainability Work'!$H$56*1000/('Breakeven Analysis'!I$16*'Breakeven Analysis'!$J9*30)))</f>
        <v>#REF!</v>
      </c>
      <c r="J9" s="13">
        <f>(B9/100)*'Financial Sustainability Work'!$E$4</f>
        <v>0</v>
      </c>
      <c r="K9" s="13">
        <f>(B9/100)*'Financial Sustainability Work'!$E$6</f>
        <v>0</v>
      </c>
      <c r="L9" s="6"/>
      <c r="M9" s="7"/>
      <c r="N9" s="5"/>
      <c r="O9" s="364">
        <v>30</v>
      </c>
      <c r="P9" s="364"/>
      <c r="Q9" s="34" t="e">
        <f>D9*'Financial Sustainability Work'!$E$13</f>
        <v>#REF!</v>
      </c>
      <c r="R9" s="31" t="e">
        <f>E9*'Financial Sustainability Work'!$E$13</f>
        <v>#REF!</v>
      </c>
      <c r="S9" s="31" t="e">
        <f>F9*'Financial Sustainability Work'!$E$13</f>
        <v>#REF!</v>
      </c>
      <c r="T9" s="31" t="e">
        <f>G9*'Financial Sustainability Work'!$E$13</f>
        <v>#REF!</v>
      </c>
      <c r="U9" s="31" t="e">
        <f>H9*'Financial Sustainability Work'!$E$13</f>
        <v>#REF!</v>
      </c>
      <c r="V9" s="35" t="e">
        <f>I9*'Financial Sustainability Work'!$E$13</f>
        <v>#REF!</v>
      </c>
      <c r="W9" s="13">
        <f>(O9/100)*'Financial Sustainability Work'!$E$4</f>
        <v>0</v>
      </c>
      <c r="X9" s="13">
        <f>(O9/100)*'Financial Sustainability Work'!$E$6</f>
        <v>0</v>
      </c>
      <c r="Y9" s="6"/>
      <c r="Z9" s="7"/>
    </row>
    <row r="10" spans="1:26" ht="17.25" customHeight="1">
      <c r="A10" s="5"/>
      <c r="B10" s="362">
        <v>40</v>
      </c>
      <c r="C10" s="363"/>
      <c r="D10" s="107" t="e">
        <f>('Financial Sustainability Work'!$E$14/1000)*('Financial Sustainability Work'!#REF!+('Financial Sustainability Work'!$H$41*1000/('Breakeven Analysis'!D$16*'Breakeven Analysis'!$J10*30))+('Financial Sustainability Work'!$H$56*1000/('Breakeven Analysis'!D$16*'Breakeven Analysis'!$J10*30)))</f>
        <v>#REF!</v>
      </c>
      <c r="E10" s="108" t="e">
        <f>('Financial Sustainability Work'!$E$14/1000)*('Financial Sustainability Work'!#REF!+('Financial Sustainability Work'!$H$41*1000/('Breakeven Analysis'!E$16*'Breakeven Analysis'!$J10*30))+('Financial Sustainability Work'!$H$56*1000/('Breakeven Analysis'!E$16*'Breakeven Analysis'!$J10*30)))</f>
        <v>#REF!</v>
      </c>
      <c r="F10" s="108" t="e">
        <f>('Financial Sustainability Work'!$E$14/1000)*('Financial Sustainability Work'!#REF!+('Financial Sustainability Work'!$H$41*1000/('Breakeven Analysis'!F$16*'Breakeven Analysis'!$J10*30))+('Financial Sustainability Work'!$H$56*1000/('Breakeven Analysis'!F$16*'Breakeven Analysis'!$J10*30)))</f>
        <v>#REF!</v>
      </c>
      <c r="G10" s="108" t="e">
        <f>('Financial Sustainability Work'!$E$14/1000)*('Financial Sustainability Work'!#REF!+('Financial Sustainability Work'!$H$41*1000/('Breakeven Analysis'!G$16*'Breakeven Analysis'!$J10*30))+('Financial Sustainability Work'!$H$56*1000/('Breakeven Analysis'!G$16*'Breakeven Analysis'!$J10*30)))</f>
        <v>#REF!</v>
      </c>
      <c r="H10" s="108" t="e">
        <f>('Financial Sustainability Work'!$E$14/1000)*('Financial Sustainability Work'!#REF!+('Financial Sustainability Work'!$H$41*1000/('Breakeven Analysis'!H$16*'Breakeven Analysis'!$J10*30))+('Financial Sustainability Work'!$H$56*1000/('Breakeven Analysis'!H$16*'Breakeven Analysis'!$J10*30)))</f>
        <v>#REF!</v>
      </c>
      <c r="I10" s="109" t="e">
        <f>('Financial Sustainability Work'!$E$14/1000)*('Financial Sustainability Work'!#REF!+('Financial Sustainability Work'!$H$41*1000/('Breakeven Analysis'!I$16*'Breakeven Analysis'!$J10*30))+('Financial Sustainability Work'!$H$56*1000/('Breakeven Analysis'!I$16*'Breakeven Analysis'!$J10*30)))</f>
        <v>#REF!</v>
      </c>
      <c r="J10" s="20">
        <f>(B10/100)*'Financial Sustainability Work'!$E$4</f>
        <v>0</v>
      </c>
      <c r="K10" s="20">
        <f>(B10/100)*'Financial Sustainability Work'!$E$6</f>
        <v>0</v>
      </c>
      <c r="L10" s="6"/>
      <c r="M10" s="7"/>
      <c r="N10" s="5"/>
      <c r="O10" s="362">
        <v>40</v>
      </c>
      <c r="P10" s="362"/>
      <c r="Q10" s="36" t="e">
        <f>D10*'Financial Sustainability Work'!$E$13</f>
        <v>#REF!</v>
      </c>
      <c r="R10" s="30" t="e">
        <f>E10*'Financial Sustainability Work'!$E$13</f>
        <v>#REF!</v>
      </c>
      <c r="S10" s="30" t="e">
        <f>F10*'Financial Sustainability Work'!$E$13</f>
        <v>#REF!</v>
      </c>
      <c r="T10" s="30" t="e">
        <f>G10*'Financial Sustainability Work'!$E$13</f>
        <v>#REF!</v>
      </c>
      <c r="U10" s="30" t="e">
        <f>H10*'Financial Sustainability Work'!$E$13</f>
        <v>#REF!</v>
      </c>
      <c r="V10" s="37" t="e">
        <f>I10*'Financial Sustainability Work'!$E$13</f>
        <v>#REF!</v>
      </c>
      <c r="W10" s="20">
        <f>(O10/100)*'Financial Sustainability Work'!$E$4</f>
        <v>0</v>
      </c>
      <c r="X10" s="20">
        <f>(O10/100)*'Financial Sustainability Work'!$E$6</f>
        <v>0</v>
      </c>
      <c r="Y10" s="6"/>
      <c r="Z10" s="7"/>
    </row>
    <row r="11" spans="1:26" ht="17.25" customHeight="1">
      <c r="A11" s="5"/>
      <c r="B11" s="364">
        <v>50</v>
      </c>
      <c r="C11" s="365"/>
      <c r="D11" s="29" t="e">
        <f>('Financial Sustainability Work'!$E$14/1000)*('Financial Sustainability Work'!#REF!+('Financial Sustainability Work'!$H$41*1000/('Breakeven Analysis'!D$16*'Breakeven Analysis'!$J11*30))+('Financial Sustainability Work'!$H$56*1000/('Breakeven Analysis'!D$16*'Breakeven Analysis'!$J11*30)))</f>
        <v>#REF!</v>
      </c>
      <c r="E11" s="14" t="e">
        <f>('Financial Sustainability Work'!$E$14/1000)*('Financial Sustainability Work'!#REF!+('Financial Sustainability Work'!$H$41*1000/('Breakeven Analysis'!E$16*'Breakeven Analysis'!$J11*30))+('Financial Sustainability Work'!$H$56*1000/('Breakeven Analysis'!E$16*'Breakeven Analysis'!$J11*30)))</f>
        <v>#REF!</v>
      </c>
      <c r="F11" s="14" t="e">
        <f>('Financial Sustainability Work'!$E$14/1000)*('Financial Sustainability Work'!#REF!+('Financial Sustainability Work'!$H$41*1000/('Breakeven Analysis'!F$16*'Breakeven Analysis'!$J11*30))+('Financial Sustainability Work'!$H$56*1000/('Breakeven Analysis'!F$16*'Breakeven Analysis'!$J11*30)))</f>
        <v>#REF!</v>
      </c>
      <c r="G11" s="14" t="e">
        <f>('Financial Sustainability Work'!$E$14/1000)*('Financial Sustainability Work'!#REF!+('Financial Sustainability Work'!$H$41*1000/('Breakeven Analysis'!G$16*'Breakeven Analysis'!$J11*30))+('Financial Sustainability Work'!$H$56*1000/('Breakeven Analysis'!G$16*'Breakeven Analysis'!$J11*30)))</f>
        <v>#REF!</v>
      </c>
      <c r="H11" s="14" t="e">
        <f>('Financial Sustainability Work'!$E$14/1000)*('Financial Sustainability Work'!#REF!+('Financial Sustainability Work'!$H$41*1000/('Breakeven Analysis'!H$16*'Breakeven Analysis'!$J11*30))+('Financial Sustainability Work'!$H$56*1000/('Breakeven Analysis'!H$16*'Breakeven Analysis'!$J11*30)))</f>
        <v>#REF!</v>
      </c>
      <c r="I11" s="106" t="e">
        <f>('Financial Sustainability Work'!$E$14/1000)*('Financial Sustainability Work'!#REF!+('Financial Sustainability Work'!$H$41*1000/('Breakeven Analysis'!I$16*'Breakeven Analysis'!$J11*30))+('Financial Sustainability Work'!$H$56*1000/('Breakeven Analysis'!I$16*'Breakeven Analysis'!$J11*30)))</f>
        <v>#REF!</v>
      </c>
      <c r="J11" s="13">
        <f>(B11/100)*'Financial Sustainability Work'!$E$4</f>
        <v>0</v>
      </c>
      <c r="K11" s="13">
        <f>(B11/100)*'Financial Sustainability Work'!$E$6</f>
        <v>0</v>
      </c>
      <c r="L11" s="6"/>
      <c r="M11" s="7"/>
      <c r="N11" s="5"/>
      <c r="O11" s="364">
        <v>50</v>
      </c>
      <c r="P11" s="364"/>
      <c r="Q11" s="34" t="e">
        <f>D11*'Financial Sustainability Work'!$E$13</f>
        <v>#REF!</v>
      </c>
      <c r="R11" s="31" t="e">
        <f>E11*'Financial Sustainability Work'!$E$13</f>
        <v>#REF!</v>
      </c>
      <c r="S11" s="31" t="e">
        <f>F11*'Financial Sustainability Work'!$E$13</f>
        <v>#REF!</v>
      </c>
      <c r="T11" s="31" t="e">
        <f>G11*'Financial Sustainability Work'!$E$13</f>
        <v>#REF!</v>
      </c>
      <c r="U11" s="31" t="e">
        <f>H11*'Financial Sustainability Work'!$E$13</f>
        <v>#REF!</v>
      </c>
      <c r="V11" s="35" t="e">
        <f>I11*'Financial Sustainability Work'!$E$13</f>
        <v>#REF!</v>
      </c>
      <c r="W11" s="13">
        <f>(O11/100)*'Financial Sustainability Work'!$E$4</f>
        <v>0</v>
      </c>
      <c r="X11" s="13">
        <f>(O11/100)*'Financial Sustainability Work'!$E$6</f>
        <v>0</v>
      </c>
      <c r="Y11" s="6"/>
      <c r="Z11" s="7"/>
    </row>
    <row r="12" spans="1:26" ht="17.25" customHeight="1">
      <c r="A12" s="5"/>
      <c r="B12" s="362">
        <v>60</v>
      </c>
      <c r="C12" s="363"/>
      <c r="D12" s="107" t="e">
        <f>('Financial Sustainability Work'!$E$14/1000)*('Financial Sustainability Work'!#REF!+('Financial Sustainability Work'!$H$41*1000/('Breakeven Analysis'!D$16*'Breakeven Analysis'!$J12*30))+('Financial Sustainability Work'!$H$56*1000/('Breakeven Analysis'!D$16*'Breakeven Analysis'!$J12*30)))</f>
        <v>#REF!</v>
      </c>
      <c r="E12" s="108" t="e">
        <f>('Financial Sustainability Work'!$E$14/1000)*('Financial Sustainability Work'!#REF!+('Financial Sustainability Work'!$H$41*1000/('Breakeven Analysis'!E$16*'Breakeven Analysis'!$J12*30))+('Financial Sustainability Work'!$H$56*1000/('Breakeven Analysis'!E$16*'Breakeven Analysis'!$J12*30)))</f>
        <v>#REF!</v>
      </c>
      <c r="F12" s="108" t="e">
        <f>('Financial Sustainability Work'!$E$14/1000)*('Financial Sustainability Work'!#REF!+('Financial Sustainability Work'!$H$41*1000/('Breakeven Analysis'!F$16*'Breakeven Analysis'!$J12*30))+('Financial Sustainability Work'!$H$56*1000/('Breakeven Analysis'!F$16*'Breakeven Analysis'!$J12*30)))</f>
        <v>#REF!</v>
      </c>
      <c r="G12" s="108" t="e">
        <f>('Financial Sustainability Work'!$E$14/1000)*('Financial Sustainability Work'!#REF!+('Financial Sustainability Work'!$H$41*1000/('Breakeven Analysis'!G$16*'Breakeven Analysis'!$J12*30))+('Financial Sustainability Work'!$H$56*1000/('Breakeven Analysis'!G$16*'Breakeven Analysis'!$J12*30)))</f>
        <v>#REF!</v>
      </c>
      <c r="H12" s="108" t="e">
        <f>('Financial Sustainability Work'!$E$14/1000)*('Financial Sustainability Work'!#REF!+('Financial Sustainability Work'!$H$41*1000/('Breakeven Analysis'!H$16*'Breakeven Analysis'!$J12*30))+('Financial Sustainability Work'!$H$56*1000/('Breakeven Analysis'!H$16*'Breakeven Analysis'!$J12*30)))</f>
        <v>#REF!</v>
      </c>
      <c r="I12" s="109" t="e">
        <f>('Financial Sustainability Work'!$E$14/1000)*('Financial Sustainability Work'!#REF!+('Financial Sustainability Work'!$H$41*1000/('Breakeven Analysis'!I$16*'Breakeven Analysis'!$J12*30))+('Financial Sustainability Work'!$H$56*1000/('Breakeven Analysis'!I$16*'Breakeven Analysis'!$J12*30)))</f>
        <v>#REF!</v>
      </c>
      <c r="J12" s="20">
        <f>(B12/100)*'Financial Sustainability Work'!$E$4</f>
        <v>0</v>
      </c>
      <c r="K12" s="20">
        <f>(B12/100)*'Financial Sustainability Work'!$E$6</f>
        <v>0</v>
      </c>
      <c r="L12" s="6"/>
      <c r="M12" s="7"/>
      <c r="N12" s="5"/>
      <c r="O12" s="362">
        <v>60</v>
      </c>
      <c r="P12" s="362"/>
      <c r="Q12" s="36" t="e">
        <f>D12*'Financial Sustainability Work'!$E$13</f>
        <v>#REF!</v>
      </c>
      <c r="R12" s="30" t="e">
        <f>E12*'Financial Sustainability Work'!$E$13</f>
        <v>#REF!</v>
      </c>
      <c r="S12" s="30" t="e">
        <f>F12*'Financial Sustainability Work'!$E$13</f>
        <v>#REF!</v>
      </c>
      <c r="T12" s="30" t="e">
        <f>G12*'Financial Sustainability Work'!$E$13</f>
        <v>#REF!</v>
      </c>
      <c r="U12" s="30" t="e">
        <f>H12*'Financial Sustainability Work'!$E$13</f>
        <v>#REF!</v>
      </c>
      <c r="V12" s="37" t="e">
        <f>I12*'Financial Sustainability Work'!$E$13</f>
        <v>#REF!</v>
      </c>
      <c r="W12" s="20">
        <f>(O12/100)*'Financial Sustainability Work'!$E$4</f>
        <v>0</v>
      </c>
      <c r="X12" s="20">
        <f>(O12/100)*'Financial Sustainability Work'!$E$6</f>
        <v>0</v>
      </c>
      <c r="Y12" s="6"/>
      <c r="Z12" s="7"/>
    </row>
    <row r="13" spans="1:26" ht="17.25" customHeight="1">
      <c r="A13" s="5"/>
      <c r="B13" s="364">
        <v>70</v>
      </c>
      <c r="C13" s="365"/>
      <c r="D13" s="29" t="e">
        <f>('Financial Sustainability Work'!$E$14/1000)*('Financial Sustainability Work'!#REF!+('Financial Sustainability Work'!$H$41*1000/('Breakeven Analysis'!D$16*'Breakeven Analysis'!$J13*30))+('Financial Sustainability Work'!$H$56*1000/('Breakeven Analysis'!D$16*'Breakeven Analysis'!$J13*30)))</f>
        <v>#REF!</v>
      </c>
      <c r="E13" s="14" t="e">
        <f>('Financial Sustainability Work'!$E$14/1000)*('Financial Sustainability Work'!#REF!+('Financial Sustainability Work'!$H$41*1000/('Breakeven Analysis'!E$16*'Breakeven Analysis'!$J13*30))+('Financial Sustainability Work'!$H$56*1000/('Breakeven Analysis'!E$16*'Breakeven Analysis'!$J13*30)))</f>
        <v>#REF!</v>
      </c>
      <c r="F13" s="14" t="e">
        <f>('Financial Sustainability Work'!$E$14/1000)*('Financial Sustainability Work'!#REF!+('Financial Sustainability Work'!$H$41*1000/('Breakeven Analysis'!F$16*'Breakeven Analysis'!$J13*30))+('Financial Sustainability Work'!$H$56*1000/('Breakeven Analysis'!F$16*'Breakeven Analysis'!$J13*30)))</f>
        <v>#REF!</v>
      </c>
      <c r="G13" s="14" t="e">
        <f>('Financial Sustainability Work'!$E$14/1000)*('Financial Sustainability Work'!#REF!+('Financial Sustainability Work'!$H$41*1000/('Breakeven Analysis'!G$16*'Breakeven Analysis'!$J13*30))+('Financial Sustainability Work'!$H$56*1000/('Breakeven Analysis'!G$16*'Breakeven Analysis'!$J13*30)))</f>
        <v>#REF!</v>
      </c>
      <c r="H13" s="14" t="e">
        <f>('Financial Sustainability Work'!$E$14/1000)*('Financial Sustainability Work'!#REF!+('Financial Sustainability Work'!$H$41*1000/('Breakeven Analysis'!H$16*'Breakeven Analysis'!$J13*30))+('Financial Sustainability Work'!$H$56*1000/('Breakeven Analysis'!H$16*'Breakeven Analysis'!$J13*30)))</f>
        <v>#REF!</v>
      </c>
      <c r="I13" s="106" t="e">
        <f>('Financial Sustainability Work'!$E$14/1000)*('Financial Sustainability Work'!#REF!+('Financial Sustainability Work'!$H$41*1000/('Breakeven Analysis'!I$16*'Breakeven Analysis'!$J13*30))+('Financial Sustainability Work'!$H$56*1000/('Breakeven Analysis'!I$16*'Breakeven Analysis'!$J13*30)))</f>
        <v>#REF!</v>
      </c>
      <c r="J13" s="13">
        <f>(B13/100)*'Financial Sustainability Work'!$E$4</f>
        <v>0</v>
      </c>
      <c r="K13" s="13">
        <f>(B13/100)*'Financial Sustainability Work'!$E$6</f>
        <v>0</v>
      </c>
      <c r="L13" s="6"/>
      <c r="M13" s="7"/>
      <c r="N13" s="5"/>
      <c r="O13" s="364">
        <v>70</v>
      </c>
      <c r="P13" s="364"/>
      <c r="Q13" s="34" t="e">
        <f>D13*'Financial Sustainability Work'!$E$13</f>
        <v>#REF!</v>
      </c>
      <c r="R13" s="31" t="e">
        <f>E13*'Financial Sustainability Work'!$E$13</f>
        <v>#REF!</v>
      </c>
      <c r="S13" s="31" t="e">
        <f>F13*'Financial Sustainability Work'!$E$13</f>
        <v>#REF!</v>
      </c>
      <c r="T13" s="31" t="e">
        <f>G13*'Financial Sustainability Work'!$E$13</f>
        <v>#REF!</v>
      </c>
      <c r="U13" s="31" t="e">
        <f>H13*'Financial Sustainability Work'!$E$13</f>
        <v>#REF!</v>
      </c>
      <c r="V13" s="35" t="e">
        <f>I13*'Financial Sustainability Work'!$E$13</f>
        <v>#REF!</v>
      </c>
      <c r="W13" s="13">
        <f>(O13/100)*'Financial Sustainability Work'!$E$4</f>
        <v>0</v>
      </c>
      <c r="X13" s="13">
        <f>(O13/100)*'Financial Sustainability Work'!$E$6</f>
        <v>0</v>
      </c>
      <c r="Y13" s="6"/>
      <c r="Z13" s="7"/>
    </row>
    <row r="14" spans="1:26" ht="17.25" customHeight="1">
      <c r="A14" s="5"/>
      <c r="B14" s="362">
        <v>80</v>
      </c>
      <c r="C14" s="363"/>
      <c r="D14" s="107" t="e">
        <f>('Financial Sustainability Work'!$E$14/1000)*('Financial Sustainability Work'!#REF!+('Financial Sustainability Work'!$H$41*1000/('Breakeven Analysis'!D$16*'Breakeven Analysis'!$J14*30))+('Financial Sustainability Work'!$H$56*1000/('Breakeven Analysis'!D$16*'Breakeven Analysis'!$J14*30)))</f>
        <v>#REF!</v>
      </c>
      <c r="E14" s="108" t="e">
        <f>('Financial Sustainability Work'!$E$14/1000)*('Financial Sustainability Work'!#REF!+('Financial Sustainability Work'!$H$41*1000/('Breakeven Analysis'!E$16*'Breakeven Analysis'!$J14*30))+('Financial Sustainability Work'!$H$56*1000/('Breakeven Analysis'!E$16*'Breakeven Analysis'!$J14*30)))</f>
        <v>#REF!</v>
      </c>
      <c r="F14" s="108" t="e">
        <f>('Financial Sustainability Work'!$E$14/1000)*('Financial Sustainability Work'!#REF!+('Financial Sustainability Work'!$H$41*1000/('Breakeven Analysis'!F$16*'Breakeven Analysis'!$J14*30))+('Financial Sustainability Work'!$H$56*1000/('Breakeven Analysis'!F$16*'Breakeven Analysis'!$J14*30)))</f>
        <v>#REF!</v>
      </c>
      <c r="G14" s="108" t="e">
        <f>('Financial Sustainability Work'!$E$14/1000)*('Financial Sustainability Work'!#REF!+('Financial Sustainability Work'!$H$41*1000/('Breakeven Analysis'!G$16*'Breakeven Analysis'!$J14*30))+('Financial Sustainability Work'!$H$56*1000/('Breakeven Analysis'!G$16*'Breakeven Analysis'!$J14*30)))</f>
        <v>#REF!</v>
      </c>
      <c r="H14" s="108" t="e">
        <f>('Financial Sustainability Work'!$E$14/1000)*('Financial Sustainability Work'!#REF!+('Financial Sustainability Work'!$H$41*1000/('Breakeven Analysis'!H$16*'Breakeven Analysis'!$J14*30))+('Financial Sustainability Work'!$H$56*1000/('Breakeven Analysis'!H$16*'Breakeven Analysis'!$J14*30)))</f>
        <v>#REF!</v>
      </c>
      <c r="I14" s="109" t="e">
        <f>('Financial Sustainability Work'!$E$14/1000)*('Financial Sustainability Work'!#REF!+('Financial Sustainability Work'!$H$41*1000/('Breakeven Analysis'!I$16*'Breakeven Analysis'!$J14*30))+('Financial Sustainability Work'!$H$56*1000/('Breakeven Analysis'!I$16*'Breakeven Analysis'!$J14*30)))</f>
        <v>#REF!</v>
      </c>
      <c r="J14" s="20">
        <f>(B14/100)*'Financial Sustainability Work'!$E$4</f>
        <v>0</v>
      </c>
      <c r="K14" s="20">
        <f>(B14/100)*'Financial Sustainability Work'!$E$6</f>
        <v>0</v>
      </c>
      <c r="L14" s="6"/>
      <c r="M14" s="7"/>
      <c r="N14" s="5"/>
      <c r="O14" s="362">
        <v>80</v>
      </c>
      <c r="P14" s="362"/>
      <c r="Q14" s="36" t="e">
        <f>D14*'Financial Sustainability Work'!$E$13</f>
        <v>#REF!</v>
      </c>
      <c r="R14" s="30" t="e">
        <f>E14*'Financial Sustainability Work'!$E$13</f>
        <v>#REF!</v>
      </c>
      <c r="S14" s="30" t="e">
        <f>F14*'Financial Sustainability Work'!$E$13</f>
        <v>#REF!</v>
      </c>
      <c r="T14" s="30" t="e">
        <f>G14*'Financial Sustainability Work'!$E$13</f>
        <v>#REF!</v>
      </c>
      <c r="U14" s="30" t="e">
        <f>H14*'Financial Sustainability Work'!$E$13</f>
        <v>#REF!</v>
      </c>
      <c r="V14" s="37" t="e">
        <f>I14*'Financial Sustainability Work'!$E$13</f>
        <v>#REF!</v>
      </c>
      <c r="W14" s="20">
        <f>(O14/100)*'Financial Sustainability Work'!$E$4</f>
        <v>0</v>
      </c>
      <c r="X14" s="20">
        <f>(O14/100)*'Financial Sustainability Work'!$E$6</f>
        <v>0</v>
      </c>
      <c r="Y14" s="6"/>
      <c r="Z14" s="7"/>
    </row>
    <row r="15" spans="1:26" ht="17.25" customHeight="1">
      <c r="A15" s="5"/>
      <c r="B15" s="368">
        <v>90</v>
      </c>
      <c r="C15" s="369"/>
      <c r="D15" s="110" t="e">
        <f>('Financial Sustainability Work'!$E$14/1000)*('Financial Sustainability Work'!#REF!+('Financial Sustainability Work'!$H$41*1000/('Breakeven Analysis'!D$16*'Breakeven Analysis'!$J15*30))+('Financial Sustainability Work'!$H$56*1000/('Breakeven Analysis'!D$16*'Breakeven Analysis'!$J15*30)))</f>
        <v>#REF!</v>
      </c>
      <c r="E15" s="111" t="e">
        <f>('Financial Sustainability Work'!$E$14/1000)*('Financial Sustainability Work'!#REF!+('Financial Sustainability Work'!$H$41*1000/('Breakeven Analysis'!E$16*'Breakeven Analysis'!$J15*30))+('Financial Sustainability Work'!$H$56*1000/('Breakeven Analysis'!E$16*'Breakeven Analysis'!$J15*30)))</f>
        <v>#REF!</v>
      </c>
      <c r="F15" s="111" t="e">
        <f>('Financial Sustainability Work'!$E$14/1000)*('Financial Sustainability Work'!#REF!+('Financial Sustainability Work'!$H$41*1000/('Breakeven Analysis'!F$16*'Breakeven Analysis'!$J15*30))+('Financial Sustainability Work'!$H$56*1000/('Breakeven Analysis'!F$16*'Breakeven Analysis'!$J15*30)))</f>
        <v>#REF!</v>
      </c>
      <c r="G15" s="111" t="e">
        <f>('Financial Sustainability Work'!$E$14/1000)*('Financial Sustainability Work'!#REF!+('Financial Sustainability Work'!$H$41*1000/('Breakeven Analysis'!G$16*'Breakeven Analysis'!$J15*30))+('Financial Sustainability Work'!$H$56*1000/('Breakeven Analysis'!G$16*'Breakeven Analysis'!$J15*30)))</f>
        <v>#REF!</v>
      </c>
      <c r="H15" s="111" t="e">
        <f>('Financial Sustainability Work'!$E$14/1000)*('Financial Sustainability Work'!#REF!+('Financial Sustainability Work'!$H$41*1000/('Breakeven Analysis'!H$16*'Breakeven Analysis'!$J15*30))+('Financial Sustainability Work'!$H$56*1000/('Breakeven Analysis'!H$16*'Breakeven Analysis'!$J15*30)))</f>
        <v>#REF!</v>
      </c>
      <c r="I15" s="112" t="e">
        <f>('Financial Sustainability Work'!$E$14/1000)*('Financial Sustainability Work'!#REF!+('Financial Sustainability Work'!$H$41*1000/('Breakeven Analysis'!I$16*'Breakeven Analysis'!$J15*30))+('Financial Sustainability Work'!$H$56*1000/('Breakeven Analysis'!I$16*'Breakeven Analysis'!$J15*30)))</f>
        <v>#REF!</v>
      </c>
      <c r="J15" s="26">
        <f>(B15/100)*'Financial Sustainability Work'!$E$4</f>
        <v>0</v>
      </c>
      <c r="K15" s="26">
        <f>(B15/100)*'Financial Sustainability Work'!$E$6</f>
        <v>0</v>
      </c>
      <c r="L15" s="6"/>
      <c r="M15" s="7"/>
      <c r="N15" s="5"/>
      <c r="O15" s="368">
        <v>90</v>
      </c>
      <c r="P15" s="368"/>
      <c r="Q15" s="58" t="e">
        <f>D15*'Financial Sustainability Work'!$E$13</f>
        <v>#REF!</v>
      </c>
      <c r="R15" s="59" t="e">
        <f>E15*'Financial Sustainability Work'!$E$13</f>
        <v>#REF!</v>
      </c>
      <c r="S15" s="59" t="e">
        <f>F15*'Financial Sustainability Work'!$E$13</f>
        <v>#REF!</v>
      </c>
      <c r="T15" s="59" t="e">
        <f>G15*'Financial Sustainability Work'!$E$13</f>
        <v>#REF!</v>
      </c>
      <c r="U15" s="59" t="e">
        <f>H15*'Financial Sustainability Work'!$E$13</f>
        <v>#REF!</v>
      </c>
      <c r="V15" s="60" t="e">
        <f>I15*'Financial Sustainability Work'!$E$13</f>
        <v>#REF!</v>
      </c>
      <c r="W15" s="26">
        <f>(O15/100)*'Financial Sustainability Work'!$E$4</f>
        <v>0</v>
      </c>
      <c r="X15" s="26">
        <f>(O15/100)*'Financial Sustainability Work'!$E$6</f>
        <v>0</v>
      </c>
      <c r="Y15" s="6"/>
      <c r="Z15" s="7"/>
    </row>
    <row r="16" spans="1:26" ht="17.25" customHeight="1">
      <c r="A16" s="5"/>
      <c r="B16" s="49"/>
      <c r="C16" s="49"/>
      <c r="D16" s="61">
        <f t="shared" ref="D16:I16" si="0">D6*$J$4</f>
        <v>0</v>
      </c>
      <c r="E16" s="62">
        <f t="shared" si="0"/>
        <v>0</v>
      </c>
      <c r="F16" s="62">
        <f t="shared" si="0"/>
        <v>0</v>
      </c>
      <c r="G16" s="62">
        <f t="shared" si="0"/>
        <v>0</v>
      </c>
      <c r="H16" s="62">
        <f t="shared" si="0"/>
        <v>0</v>
      </c>
      <c r="I16" s="63">
        <f t="shared" si="0"/>
        <v>0</v>
      </c>
      <c r="J16" s="13"/>
      <c r="K16" s="13"/>
      <c r="L16" s="6"/>
      <c r="M16" s="7"/>
      <c r="N16" s="5"/>
      <c r="O16" s="49"/>
      <c r="P16" s="49"/>
      <c r="Q16" s="61">
        <f t="shared" ref="Q16:V16" si="1">Q6*$J$4</f>
        <v>0</v>
      </c>
      <c r="R16" s="62">
        <f t="shared" si="1"/>
        <v>0</v>
      </c>
      <c r="S16" s="62">
        <f t="shared" si="1"/>
        <v>0</v>
      </c>
      <c r="T16" s="62">
        <f t="shared" si="1"/>
        <v>0</v>
      </c>
      <c r="U16" s="62">
        <f t="shared" si="1"/>
        <v>0</v>
      </c>
      <c r="V16" s="63">
        <f t="shared" si="1"/>
        <v>0</v>
      </c>
      <c r="W16" s="13"/>
      <c r="X16" s="13"/>
      <c r="Y16" s="6"/>
      <c r="Z16" s="7"/>
    </row>
    <row r="17" spans="1:26" ht="17.25" customHeight="1">
      <c r="A17" s="5"/>
      <c r="B17" s="49"/>
      <c r="C17" s="49"/>
      <c r="D17" s="359" t="s">
        <v>185</v>
      </c>
      <c r="E17" s="360"/>
      <c r="F17" s="360"/>
      <c r="G17" s="360"/>
      <c r="H17" s="360"/>
      <c r="I17" s="361"/>
      <c r="J17" s="13"/>
      <c r="K17" s="13"/>
      <c r="L17" s="6"/>
      <c r="M17" s="7"/>
      <c r="N17" s="5"/>
      <c r="O17" s="49"/>
      <c r="P17" s="49"/>
      <c r="Q17" s="359" t="s">
        <v>185</v>
      </c>
      <c r="R17" s="360"/>
      <c r="S17" s="360"/>
      <c r="T17" s="360"/>
      <c r="U17" s="360"/>
      <c r="V17" s="361"/>
      <c r="W17" s="13"/>
      <c r="X17" s="13"/>
      <c r="Y17" s="6"/>
      <c r="Z17" s="7"/>
    </row>
    <row r="18" spans="1:26" ht="11.1" customHeight="1">
      <c r="A18" s="5"/>
      <c r="B18" s="6"/>
      <c r="C18" s="6"/>
      <c r="D18" s="6"/>
      <c r="E18" s="6"/>
      <c r="F18" s="6"/>
      <c r="G18" s="6"/>
      <c r="H18" s="6"/>
      <c r="I18" s="6"/>
      <c r="J18" s="6"/>
      <c r="K18" s="6"/>
      <c r="L18" s="6"/>
      <c r="M18" s="7"/>
      <c r="N18" s="5"/>
      <c r="O18" s="6"/>
      <c r="P18" s="6"/>
      <c r="Q18" s="6"/>
      <c r="R18" s="6"/>
      <c r="S18" s="6"/>
      <c r="T18" s="6"/>
      <c r="U18" s="6"/>
      <c r="V18" s="6"/>
      <c r="W18" s="6"/>
      <c r="X18" s="6"/>
      <c r="Y18" s="6"/>
      <c r="Z18" s="7"/>
    </row>
    <row r="19" spans="1:26" ht="17.25" customHeight="1">
      <c r="A19" s="5"/>
      <c r="B19" s="360" t="s">
        <v>186</v>
      </c>
      <c r="C19" s="360"/>
      <c r="D19" s="360"/>
      <c r="E19" s="360"/>
      <c r="F19" s="360"/>
      <c r="G19" s="360"/>
      <c r="H19" s="360"/>
      <c r="I19" s="360"/>
      <c r="J19" s="360"/>
      <c r="K19" s="360"/>
      <c r="L19" s="6"/>
      <c r="M19" s="7"/>
      <c r="N19" s="5"/>
      <c r="O19" s="360" t="s">
        <v>186</v>
      </c>
      <c r="P19" s="360"/>
      <c r="Q19" s="360"/>
      <c r="R19" s="360"/>
      <c r="S19" s="360"/>
      <c r="T19" s="360"/>
      <c r="U19" s="360"/>
      <c r="V19" s="360"/>
      <c r="W19" s="360"/>
      <c r="X19" s="360"/>
      <c r="Y19" s="6"/>
      <c r="Z19" s="7"/>
    </row>
    <row r="20" spans="1:26" ht="17.25" customHeight="1">
      <c r="A20" s="5"/>
      <c r="B20" s="372" t="s">
        <v>180</v>
      </c>
      <c r="C20" s="373"/>
      <c r="D20" s="359" t="s">
        <v>181</v>
      </c>
      <c r="E20" s="360"/>
      <c r="F20" s="360"/>
      <c r="G20" s="360"/>
      <c r="H20" s="360"/>
      <c r="I20" s="361"/>
      <c r="J20" s="372" t="s">
        <v>187</v>
      </c>
      <c r="K20" s="372"/>
      <c r="L20" s="6"/>
      <c r="M20" s="7"/>
      <c r="N20" s="5"/>
      <c r="O20" s="372" t="s">
        <v>180</v>
      </c>
      <c r="P20" s="373"/>
      <c r="Q20" s="359" t="s">
        <v>181</v>
      </c>
      <c r="R20" s="360"/>
      <c r="S20" s="360"/>
      <c r="T20" s="360"/>
      <c r="U20" s="360"/>
      <c r="V20" s="361"/>
      <c r="W20" s="372" t="s">
        <v>187</v>
      </c>
      <c r="X20" s="372"/>
      <c r="Y20" s="6"/>
      <c r="Z20" s="7"/>
    </row>
    <row r="21" spans="1:26" ht="17.25" customHeight="1">
      <c r="A21" s="5"/>
      <c r="B21" s="374"/>
      <c r="C21" s="375"/>
      <c r="D21" s="17">
        <v>1</v>
      </c>
      <c r="E21" s="18">
        <v>2</v>
      </c>
      <c r="F21" s="18">
        <v>3</v>
      </c>
      <c r="G21" s="18">
        <v>4</v>
      </c>
      <c r="H21" s="18">
        <v>5</v>
      </c>
      <c r="I21" s="19">
        <v>6</v>
      </c>
      <c r="J21" s="51" t="s">
        <v>183</v>
      </c>
      <c r="K21" s="51" t="s">
        <v>184</v>
      </c>
      <c r="L21" s="6"/>
      <c r="M21" s="7"/>
      <c r="N21" s="5"/>
      <c r="O21" s="374"/>
      <c r="P21" s="375"/>
      <c r="Q21" s="17">
        <v>1</v>
      </c>
      <c r="R21" s="18">
        <v>2</v>
      </c>
      <c r="S21" s="18">
        <v>3</v>
      </c>
      <c r="T21" s="18">
        <v>4</v>
      </c>
      <c r="U21" s="18">
        <v>5</v>
      </c>
      <c r="V21" s="19">
        <v>6</v>
      </c>
      <c r="W21" s="51" t="s">
        <v>183</v>
      </c>
      <c r="X21" s="51" t="s">
        <v>184</v>
      </c>
      <c r="Y21" s="6"/>
      <c r="Z21" s="7"/>
    </row>
    <row r="22" spans="1:26" ht="17.25" customHeight="1">
      <c r="A22" s="5"/>
      <c r="B22" s="370">
        <v>10</v>
      </c>
      <c r="C22" s="371"/>
      <c r="D22" s="21">
        <f t="shared" ref="D22:I30" si="2">$J22*D$31</f>
        <v>0</v>
      </c>
      <c r="E22" s="6">
        <f t="shared" si="2"/>
        <v>0</v>
      </c>
      <c r="F22" s="6">
        <f t="shared" si="2"/>
        <v>0</v>
      </c>
      <c r="G22" s="6">
        <f t="shared" si="2"/>
        <v>0</v>
      </c>
      <c r="H22" s="6">
        <f t="shared" si="2"/>
        <v>0</v>
      </c>
      <c r="I22" s="22">
        <f t="shared" si="2"/>
        <v>0</v>
      </c>
      <c r="J22" s="13">
        <f>(B22/100)*'Financial Sustainability Work'!$E$4</f>
        <v>0</v>
      </c>
      <c r="K22" s="13">
        <f>(B22/100)*'Financial Sustainability Work'!$E$6</f>
        <v>0</v>
      </c>
      <c r="L22" s="6"/>
      <c r="M22" s="7"/>
      <c r="N22" s="5"/>
      <c r="O22" s="370">
        <v>10</v>
      </c>
      <c r="P22" s="371"/>
      <c r="Q22" s="21">
        <f t="shared" ref="Q22:V30" si="3">$J22*Q$31</f>
        <v>0</v>
      </c>
      <c r="R22" s="6">
        <f t="shared" si="3"/>
        <v>0</v>
      </c>
      <c r="S22" s="6">
        <f t="shared" si="3"/>
        <v>0</v>
      </c>
      <c r="T22" s="6">
        <f t="shared" si="3"/>
        <v>0</v>
      </c>
      <c r="U22" s="6">
        <f t="shared" si="3"/>
        <v>0</v>
      </c>
      <c r="V22" s="22">
        <f t="shared" si="3"/>
        <v>0</v>
      </c>
      <c r="W22" s="13">
        <f>(O22/100)*'Financial Sustainability Work'!$E$4</f>
        <v>0</v>
      </c>
      <c r="X22" s="13">
        <f>(O22/100)*'Financial Sustainability Work'!$E$6</f>
        <v>0</v>
      </c>
      <c r="Y22" s="6"/>
      <c r="Z22" s="7"/>
    </row>
    <row r="23" spans="1:26" ht="17.25" customHeight="1">
      <c r="A23" s="5"/>
      <c r="B23" s="362">
        <v>20</v>
      </c>
      <c r="C23" s="363"/>
      <c r="D23" s="23">
        <f t="shared" si="2"/>
        <v>0</v>
      </c>
      <c r="E23" s="24">
        <f t="shared" si="2"/>
        <v>0</v>
      </c>
      <c r="F23" s="24">
        <f t="shared" si="2"/>
        <v>0</v>
      </c>
      <c r="G23" s="24">
        <f t="shared" si="2"/>
        <v>0</v>
      </c>
      <c r="H23" s="24">
        <f t="shared" si="2"/>
        <v>0</v>
      </c>
      <c r="I23" s="25">
        <f t="shared" si="2"/>
        <v>0</v>
      </c>
      <c r="J23" s="20">
        <f>(B23/100)*'Financial Sustainability Work'!$E$4</f>
        <v>0</v>
      </c>
      <c r="K23" s="20">
        <f>(B23/100)*'Financial Sustainability Work'!$E$6</f>
        <v>0</v>
      </c>
      <c r="L23" s="6"/>
      <c r="M23" s="7"/>
      <c r="N23" s="5"/>
      <c r="O23" s="362">
        <v>20</v>
      </c>
      <c r="P23" s="363"/>
      <c r="Q23" s="23">
        <f t="shared" si="3"/>
        <v>0</v>
      </c>
      <c r="R23" s="24">
        <f t="shared" si="3"/>
        <v>0</v>
      </c>
      <c r="S23" s="24">
        <f t="shared" si="3"/>
        <v>0</v>
      </c>
      <c r="T23" s="24">
        <f t="shared" si="3"/>
        <v>0</v>
      </c>
      <c r="U23" s="24">
        <f t="shared" si="3"/>
        <v>0</v>
      </c>
      <c r="V23" s="25">
        <f t="shared" si="3"/>
        <v>0</v>
      </c>
      <c r="W23" s="20">
        <f>(O23/100)*'Financial Sustainability Work'!$E$4</f>
        <v>0</v>
      </c>
      <c r="X23" s="20">
        <f>(O23/100)*'Financial Sustainability Work'!$E$6</f>
        <v>0</v>
      </c>
      <c r="Y23" s="6"/>
      <c r="Z23" s="7"/>
    </row>
    <row r="24" spans="1:26" ht="17.25" customHeight="1">
      <c r="A24" s="5"/>
      <c r="B24" s="364">
        <v>30</v>
      </c>
      <c r="C24" s="365"/>
      <c r="D24" s="21">
        <f t="shared" si="2"/>
        <v>0</v>
      </c>
      <c r="E24" s="6">
        <f t="shared" si="2"/>
        <v>0</v>
      </c>
      <c r="F24" s="6">
        <f t="shared" si="2"/>
        <v>0</v>
      </c>
      <c r="G24" s="6">
        <f t="shared" si="2"/>
        <v>0</v>
      </c>
      <c r="H24" s="6">
        <f t="shared" si="2"/>
        <v>0</v>
      </c>
      <c r="I24" s="22">
        <f t="shared" si="2"/>
        <v>0</v>
      </c>
      <c r="J24" s="13">
        <f>(B24/100)*'Financial Sustainability Work'!$E$4</f>
        <v>0</v>
      </c>
      <c r="K24" s="13">
        <f>(B24/100)*'Financial Sustainability Work'!$E$6</f>
        <v>0</v>
      </c>
      <c r="L24" s="6"/>
      <c r="M24" s="7"/>
      <c r="N24" s="5"/>
      <c r="O24" s="364">
        <v>30</v>
      </c>
      <c r="P24" s="365"/>
      <c r="Q24" s="21">
        <f t="shared" si="3"/>
        <v>0</v>
      </c>
      <c r="R24" s="6">
        <f t="shared" si="3"/>
        <v>0</v>
      </c>
      <c r="S24" s="6">
        <f t="shared" si="3"/>
        <v>0</v>
      </c>
      <c r="T24" s="6">
        <f t="shared" si="3"/>
        <v>0</v>
      </c>
      <c r="U24" s="6">
        <f t="shared" si="3"/>
        <v>0</v>
      </c>
      <c r="V24" s="22">
        <f t="shared" si="3"/>
        <v>0</v>
      </c>
      <c r="W24" s="13">
        <f>(O24/100)*'Financial Sustainability Work'!$E$4</f>
        <v>0</v>
      </c>
      <c r="X24" s="13">
        <f>(O24/100)*'Financial Sustainability Work'!$E$6</f>
        <v>0</v>
      </c>
      <c r="Y24" s="6"/>
      <c r="Z24" s="7"/>
    </row>
    <row r="25" spans="1:26" ht="17.25" customHeight="1">
      <c r="A25" s="5"/>
      <c r="B25" s="362">
        <v>40</v>
      </c>
      <c r="C25" s="363"/>
      <c r="D25" s="23">
        <f t="shared" si="2"/>
        <v>0</v>
      </c>
      <c r="E25" s="24">
        <f t="shared" si="2"/>
        <v>0</v>
      </c>
      <c r="F25" s="24">
        <f t="shared" si="2"/>
        <v>0</v>
      </c>
      <c r="G25" s="24">
        <f t="shared" si="2"/>
        <v>0</v>
      </c>
      <c r="H25" s="24">
        <f t="shared" si="2"/>
        <v>0</v>
      </c>
      <c r="I25" s="25">
        <f t="shared" si="2"/>
        <v>0</v>
      </c>
      <c r="J25" s="20">
        <f>(B25/100)*'Financial Sustainability Work'!$E$4</f>
        <v>0</v>
      </c>
      <c r="K25" s="20">
        <f>(B25/100)*'Financial Sustainability Work'!$E$6</f>
        <v>0</v>
      </c>
      <c r="L25" s="6"/>
      <c r="M25" s="7"/>
      <c r="N25" s="5"/>
      <c r="O25" s="362">
        <v>40</v>
      </c>
      <c r="P25" s="363"/>
      <c r="Q25" s="23">
        <f t="shared" si="3"/>
        <v>0</v>
      </c>
      <c r="R25" s="24">
        <f t="shared" si="3"/>
        <v>0</v>
      </c>
      <c r="S25" s="24">
        <f t="shared" si="3"/>
        <v>0</v>
      </c>
      <c r="T25" s="24">
        <f t="shared" si="3"/>
        <v>0</v>
      </c>
      <c r="U25" s="24">
        <f t="shared" si="3"/>
        <v>0</v>
      </c>
      <c r="V25" s="25">
        <f t="shared" si="3"/>
        <v>0</v>
      </c>
      <c r="W25" s="20">
        <f>(O25/100)*'Financial Sustainability Work'!$E$4</f>
        <v>0</v>
      </c>
      <c r="X25" s="20">
        <f>(O25/100)*'Financial Sustainability Work'!$E$6</f>
        <v>0</v>
      </c>
      <c r="Y25" s="6"/>
      <c r="Z25" s="7"/>
    </row>
    <row r="26" spans="1:26" ht="17.25" customHeight="1">
      <c r="A26" s="5"/>
      <c r="B26" s="364">
        <v>50</v>
      </c>
      <c r="C26" s="365"/>
      <c r="D26" s="21">
        <f t="shared" si="2"/>
        <v>0</v>
      </c>
      <c r="E26" s="6">
        <f t="shared" si="2"/>
        <v>0</v>
      </c>
      <c r="F26" s="6">
        <f t="shared" si="2"/>
        <v>0</v>
      </c>
      <c r="G26" s="6">
        <f t="shared" si="2"/>
        <v>0</v>
      </c>
      <c r="H26" s="6">
        <f t="shared" si="2"/>
        <v>0</v>
      </c>
      <c r="I26" s="22">
        <f t="shared" si="2"/>
        <v>0</v>
      </c>
      <c r="J26" s="13">
        <f>(B26/100)*'Financial Sustainability Work'!$E$4</f>
        <v>0</v>
      </c>
      <c r="K26" s="13">
        <f>(B26/100)*'Financial Sustainability Work'!$E$6</f>
        <v>0</v>
      </c>
      <c r="L26" s="6"/>
      <c r="M26" s="7"/>
      <c r="N26" s="5"/>
      <c r="O26" s="364">
        <v>50</v>
      </c>
      <c r="P26" s="365"/>
      <c r="Q26" s="21">
        <f t="shared" si="3"/>
        <v>0</v>
      </c>
      <c r="R26" s="6">
        <f t="shared" si="3"/>
        <v>0</v>
      </c>
      <c r="S26" s="6">
        <f t="shared" si="3"/>
        <v>0</v>
      </c>
      <c r="T26" s="6">
        <f t="shared" si="3"/>
        <v>0</v>
      </c>
      <c r="U26" s="6">
        <f t="shared" si="3"/>
        <v>0</v>
      </c>
      <c r="V26" s="22">
        <f t="shared" si="3"/>
        <v>0</v>
      </c>
      <c r="W26" s="13">
        <f>(O26/100)*'Financial Sustainability Work'!$E$4</f>
        <v>0</v>
      </c>
      <c r="X26" s="13">
        <f>(O26/100)*'Financial Sustainability Work'!$E$6</f>
        <v>0</v>
      </c>
      <c r="Y26" s="6"/>
      <c r="Z26" s="7"/>
    </row>
    <row r="27" spans="1:26" ht="17.25" customHeight="1">
      <c r="A27" s="5"/>
      <c r="B27" s="362">
        <v>60</v>
      </c>
      <c r="C27" s="363"/>
      <c r="D27" s="23">
        <f t="shared" si="2"/>
        <v>0</v>
      </c>
      <c r="E27" s="24">
        <f t="shared" si="2"/>
        <v>0</v>
      </c>
      <c r="F27" s="24">
        <f t="shared" si="2"/>
        <v>0</v>
      </c>
      <c r="G27" s="24">
        <f t="shared" si="2"/>
        <v>0</v>
      </c>
      <c r="H27" s="24">
        <f t="shared" si="2"/>
        <v>0</v>
      </c>
      <c r="I27" s="25">
        <f t="shared" si="2"/>
        <v>0</v>
      </c>
      <c r="J27" s="20">
        <f>(B27/100)*'Financial Sustainability Work'!$E$4</f>
        <v>0</v>
      </c>
      <c r="K27" s="20">
        <f>(B27/100)*'Financial Sustainability Work'!$E$6</f>
        <v>0</v>
      </c>
      <c r="L27" s="6"/>
      <c r="M27" s="7"/>
      <c r="N27" s="5"/>
      <c r="O27" s="362">
        <v>60</v>
      </c>
      <c r="P27" s="363"/>
      <c r="Q27" s="23">
        <f t="shared" si="3"/>
        <v>0</v>
      </c>
      <c r="R27" s="24">
        <f t="shared" si="3"/>
        <v>0</v>
      </c>
      <c r="S27" s="24">
        <f t="shared" si="3"/>
        <v>0</v>
      </c>
      <c r="T27" s="24">
        <f t="shared" si="3"/>
        <v>0</v>
      </c>
      <c r="U27" s="24">
        <f t="shared" si="3"/>
        <v>0</v>
      </c>
      <c r="V27" s="25">
        <f t="shared" si="3"/>
        <v>0</v>
      </c>
      <c r="W27" s="20">
        <f>(O27/100)*'Financial Sustainability Work'!$E$4</f>
        <v>0</v>
      </c>
      <c r="X27" s="20">
        <f>(O27/100)*'Financial Sustainability Work'!$E$6</f>
        <v>0</v>
      </c>
      <c r="Y27" s="6"/>
      <c r="Z27" s="7"/>
    </row>
    <row r="28" spans="1:26" ht="17.25" customHeight="1">
      <c r="A28" s="5"/>
      <c r="B28" s="364">
        <v>70</v>
      </c>
      <c r="C28" s="365"/>
      <c r="D28" s="21">
        <f t="shared" si="2"/>
        <v>0</v>
      </c>
      <c r="E28" s="6">
        <f t="shared" si="2"/>
        <v>0</v>
      </c>
      <c r="F28" s="6">
        <f t="shared" si="2"/>
        <v>0</v>
      </c>
      <c r="G28" s="6">
        <f t="shared" si="2"/>
        <v>0</v>
      </c>
      <c r="H28" s="6">
        <f t="shared" si="2"/>
        <v>0</v>
      </c>
      <c r="I28" s="22">
        <f t="shared" si="2"/>
        <v>0</v>
      </c>
      <c r="J28" s="13">
        <f>(B28/100)*'Financial Sustainability Work'!$E$4</f>
        <v>0</v>
      </c>
      <c r="K28" s="13">
        <f>(B28/100)*'Financial Sustainability Work'!$E$6</f>
        <v>0</v>
      </c>
      <c r="L28" s="6"/>
      <c r="M28" s="7"/>
      <c r="N28" s="5"/>
      <c r="O28" s="364">
        <v>70</v>
      </c>
      <c r="P28" s="365"/>
      <c r="Q28" s="21">
        <f t="shared" si="3"/>
        <v>0</v>
      </c>
      <c r="R28" s="6">
        <f t="shared" si="3"/>
        <v>0</v>
      </c>
      <c r="S28" s="6">
        <f t="shared" si="3"/>
        <v>0</v>
      </c>
      <c r="T28" s="6">
        <f t="shared" si="3"/>
        <v>0</v>
      </c>
      <c r="U28" s="6">
        <f t="shared" si="3"/>
        <v>0</v>
      </c>
      <c r="V28" s="22">
        <f t="shared" si="3"/>
        <v>0</v>
      </c>
      <c r="W28" s="13">
        <f>(O28/100)*'Financial Sustainability Work'!$E$4</f>
        <v>0</v>
      </c>
      <c r="X28" s="13">
        <f>(O28/100)*'Financial Sustainability Work'!$E$6</f>
        <v>0</v>
      </c>
      <c r="Y28" s="6"/>
      <c r="Z28" s="7"/>
    </row>
    <row r="29" spans="1:26" ht="17.25" customHeight="1">
      <c r="A29" s="5"/>
      <c r="B29" s="362">
        <v>80</v>
      </c>
      <c r="C29" s="363"/>
      <c r="D29" s="23">
        <f t="shared" si="2"/>
        <v>0</v>
      </c>
      <c r="E29" s="24">
        <f t="shared" si="2"/>
        <v>0</v>
      </c>
      <c r="F29" s="24">
        <f t="shared" si="2"/>
        <v>0</v>
      </c>
      <c r="G29" s="24">
        <f t="shared" si="2"/>
        <v>0</v>
      </c>
      <c r="H29" s="24">
        <f t="shared" si="2"/>
        <v>0</v>
      </c>
      <c r="I29" s="25">
        <f t="shared" si="2"/>
        <v>0</v>
      </c>
      <c r="J29" s="20">
        <f>(B29/100)*'Financial Sustainability Work'!$E$4</f>
        <v>0</v>
      </c>
      <c r="K29" s="20">
        <f>(B29/100)*'Financial Sustainability Work'!$E$6</f>
        <v>0</v>
      </c>
      <c r="L29" s="6"/>
      <c r="M29" s="7"/>
      <c r="N29" s="5"/>
      <c r="O29" s="362">
        <v>80</v>
      </c>
      <c r="P29" s="363"/>
      <c r="Q29" s="23">
        <f t="shared" si="3"/>
        <v>0</v>
      </c>
      <c r="R29" s="24">
        <f t="shared" si="3"/>
        <v>0</v>
      </c>
      <c r="S29" s="24">
        <f t="shared" si="3"/>
        <v>0</v>
      </c>
      <c r="T29" s="24">
        <f t="shared" si="3"/>
        <v>0</v>
      </c>
      <c r="U29" s="24">
        <f t="shared" si="3"/>
        <v>0</v>
      </c>
      <c r="V29" s="25">
        <f t="shared" si="3"/>
        <v>0</v>
      </c>
      <c r="W29" s="20">
        <f>(O29/100)*'Financial Sustainability Work'!$E$4</f>
        <v>0</v>
      </c>
      <c r="X29" s="20">
        <f>(O29/100)*'Financial Sustainability Work'!$E$6</f>
        <v>0</v>
      </c>
      <c r="Y29" s="6"/>
      <c r="Z29" s="7"/>
    </row>
    <row r="30" spans="1:26" ht="17.25" customHeight="1">
      <c r="A30" s="5"/>
      <c r="B30" s="368">
        <v>90</v>
      </c>
      <c r="C30" s="369"/>
      <c r="D30" s="64">
        <f t="shared" si="2"/>
        <v>0</v>
      </c>
      <c r="E30" s="65">
        <f t="shared" si="2"/>
        <v>0</v>
      </c>
      <c r="F30" s="65">
        <f t="shared" si="2"/>
        <v>0</v>
      </c>
      <c r="G30" s="65">
        <f t="shared" si="2"/>
        <v>0</v>
      </c>
      <c r="H30" s="65">
        <f t="shared" si="2"/>
        <v>0</v>
      </c>
      <c r="I30" s="66">
        <f t="shared" si="2"/>
        <v>0</v>
      </c>
      <c r="J30" s="26">
        <f>(B30/100)*'Financial Sustainability Work'!$E$4</f>
        <v>0</v>
      </c>
      <c r="K30" s="26">
        <f>(B30/100)*'Financial Sustainability Work'!$E$6</f>
        <v>0</v>
      </c>
      <c r="L30" s="6"/>
      <c r="M30" s="7"/>
      <c r="N30" s="5"/>
      <c r="O30" s="368">
        <v>90</v>
      </c>
      <c r="P30" s="369"/>
      <c r="Q30" s="64">
        <f t="shared" si="3"/>
        <v>0</v>
      </c>
      <c r="R30" s="65">
        <f t="shared" si="3"/>
        <v>0</v>
      </c>
      <c r="S30" s="65">
        <f t="shared" si="3"/>
        <v>0</v>
      </c>
      <c r="T30" s="65">
        <f t="shared" si="3"/>
        <v>0</v>
      </c>
      <c r="U30" s="65">
        <f t="shared" si="3"/>
        <v>0</v>
      </c>
      <c r="V30" s="66">
        <f t="shared" si="3"/>
        <v>0</v>
      </c>
      <c r="W30" s="26">
        <f>(O30/100)*'Financial Sustainability Work'!$E$4</f>
        <v>0</v>
      </c>
      <c r="X30" s="26">
        <f>(O30/100)*'Financial Sustainability Work'!$E$6</f>
        <v>0</v>
      </c>
      <c r="Y30" s="6"/>
      <c r="Z30" s="7"/>
    </row>
    <row r="31" spans="1:26" ht="17.25" customHeight="1">
      <c r="A31" s="5"/>
      <c r="B31" s="49"/>
      <c r="C31" s="49"/>
      <c r="D31" s="61">
        <f t="shared" ref="D31:I31" si="4">D21*$J$4</f>
        <v>0</v>
      </c>
      <c r="E31" s="62">
        <f t="shared" si="4"/>
        <v>0</v>
      </c>
      <c r="F31" s="62">
        <f t="shared" si="4"/>
        <v>0</v>
      </c>
      <c r="G31" s="62">
        <f t="shared" si="4"/>
        <v>0</v>
      </c>
      <c r="H31" s="62">
        <f t="shared" si="4"/>
        <v>0</v>
      </c>
      <c r="I31" s="63">
        <f t="shared" si="4"/>
        <v>0</v>
      </c>
      <c r="J31" s="13"/>
      <c r="K31" s="13"/>
      <c r="L31" s="6"/>
      <c r="M31" s="7"/>
      <c r="N31" s="5"/>
      <c r="O31" s="49"/>
      <c r="P31" s="49"/>
      <c r="Q31" s="61">
        <f t="shared" ref="Q31:V31" si="5">Q21*$J$4</f>
        <v>0</v>
      </c>
      <c r="R31" s="62">
        <f t="shared" si="5"/>
        <v>0</v>
      </c>
      <c r="S31" s="62">
        <f t="shared" si="5"/>
        <v>0</v>
      </c>
      <c r="T31" s="62">
        <f t="shared" si="5"/>
        <v>0</v>
      </c>
      <c r="U31" s="62">
        <f t="shared" si="5"/>
        <v>0</v>
      </c>
      <c r="V31" s="63">
        <f t="shared" si="5"/>
        <v>0</v>
      </c>
      <c r="W31" s="13"/>
      <c r="X31" s="13"/>
      <c r="Y31" s="6"/>
      <c r="Z31" s="7"/>
    </row>
    <row r="32" spans="1:26" ht="17.25" customHeight="1">
      <c r="A32" s="5"/>
      <c r="B32" s="49"/>
      <c r="C32" s="49"/>
      <c r="D32" s="359" t="s">
        <v>185</v>
      </c>
      <c r="E32" s="360"/>
      <c r="F32" s="360"/>
      <c r="G32" s="360"/>
      <c r="H32" s="360"/>
      <c r="I32" s="361"/>
      <c r="J32" s="13"/>
      <c r="K32" s="13"/>
      <c r="L32" s="6"/>
      <c r="M32" s="7"/>
      <c r="N32" s="5"/>
      <c r="O32" s="49"/>
      <c r="P32" s="49"/>
      <c r="Q32" s="359" t="s">
        <v>185</v>
      </c>
      <c r="R32" s="360"/>
      <c r="S32" s="360"/>
      <c r="T32" s="360"/>
      <c r="U32" s="360"/>
      <c r="V32" s="361"/>
      <c r="W32" s="13"/>
      <c r="X32" s="13"/>
      <c r="Y32" s="6"/>
      <c r="Z32" s="7"/>
    </row>
    <row r="33" spans="1:26" ht="11.1" customHeight="1">
      <c r="A33" s="5"/>
      <c r="B33" s="6"/>
      <c r="C33" s="6"/>
      <c r="D33" s="6"/>
      <c r="E33" s="6"/>
      <c r="F33" s="6"/>
      <c r="G33" s="6"/>
      <c r="H33" s="6"/>
      <c r="I33" s="6"/>
      <c r="J33" s="6"/>
      <c r="K33" s="6"/>
      <c r="L33" s="6"/>
      <c r="M33" s="7"/>
      <c r="N33" s="5"/>
      <c r="O33" s="6"/>
      <c r="P33" s="6"/>
      <c r="Q33" s="6"/>
      <c r="R33" s="6"/>
      <c r="S33" s="6"/>
      <c r="T33" s="6"/>
      <c r="U33" s="6"/>
      <c r="V33" s="6"/>
      <c r="W33" s="6"/>
      <c r="X33" s="6"/>
      <c r="Y33" s="6"/>
      <c r="Z33" s="7"/>
    </row>
    <row r="34" spans="1:26" ht="17.25" customHeight="1">
      <c r="A34" s="5"/>
      <c r="B34" s="68"/>
      <c r="C34" s="6"/>
      <c r="D34" s="6"/>
      <c r="E34" s="101" t="s">
        <v>188</v>
      </c>
      <c r="F34" s="67" t="s">
        <v>16</v>
      </c>
      <c r="G34" s="68" t="s">
        <v>176</v>
      </c>
      <c r="H34" s="99">
        <f>'Financial Sustainability Work'!F61</f>
        <v>0</v>
      </c>
      <c r="I34" s="6"/>
      <c r="J34" s="6"/>
      <c r="K34" s="6"/>
      <c r="L34" s="6"/>
      <c r="M34" s="7"/>
      <c r="N34" s="5"/>
      <c r="O34" s="68"/>
      <c r="P34" s="6"/>
      <c r="Q34" s="6"/>
      <c r="R34" s="101" t="s">
        <v>188</v>
      </c>
      <c r="S34" s="67" t="str">
        <f>S4</f>
        <v>UGX</v>
      </c>
      <c r="T34" s="68" t="s">
        <v>176</v>
      </c>
      <c r="U34" s="102">
        <f>'Financial Sustainability Work'!E61</f>
        <v>0</v>
      </c>
      <c r="V34" s="6"/>
      <c r="W34" s="6"/>
      <c r="X34" s="6"/>
      <c r="Y34" s="6"/>
      <c r="Z34" s="7"/>
    </row>
    <row r="35" spans="1:26" ht="11.1" customHeight="1">
      <c r="A35" s="5"/>
      <c r="B35" s="6"/>
      <c r="C35" s="6"/>
      <c r="D35" s="6"/>
      <c r="E35" s="6"/>
      <c r="F35" s="6"/>
      <c r="G35" s="6"/>
      <c r="H35" s="6"/>
      <c r="I35" s="6"/>
      <c r="J35" s="6"/>
      <c r="K35" s="6"/>
      <c r="L35" s="6"/>
      <c r="M35" s="7"/>
      <c r="N35" s="5"/>
      <c r="O35" s="6"/>
      <c r="P35" s="6"/>
      <c r="Q35" s="6"/>
      <c r="R35" s="6"/>
      <c r="S35" s="6"/>
      <c r="T35" s="6"/>
      <c r="U35" s="6"/>
      <c r="V35" s="6"/>
      <c r="W35" s="6"/>
      <c r="X35" s="6"/>
      <c r="Y35" s="6"/>
      <c r="Z35" s="7"/>
    </row>
    <row r="36" spans="1:26" ht="17.25" customHeight="1">
      <c r="A36" s="380" t="s">
        <v>189</v>
      </c>
      <c r="B36" s="360"/>
      <c r="C36" s="360"/>
      <c r="D36" s="360"/>
      <c r="E36" s="360"/>
      <c r="F36" s="360"/>
      <c r="G36" s="360"/>
      <c r="H36" s="360"/>
      <c r="I36" s="360"/>
      <c r="J36" s="360"/>
      <c r="K36" s="360"/>
      <c r="L36" s="360"/>
      <c r="M36" s="381"/>
      <c r="N36" s="380" t="s">
        <v>189</v>
      </c>
      <c r="O36" s="360"/>
      <c r="P36" s="360"/>
      <c r="Q36" s="360"/>
      <c r="R36" s="360"/>
      <c r="S36" s="360"/>
      <c r="T36" s="360"/>
      <c r="U36" s="360"/>
      <c r="V36" s="360"/>
      <c r="W36" s="360"/>
      <c r="X36" s="360"/>
      <c r="Y36" s="360"/>
      <c r="Z36" s="381"/>
    </row>
    <row r="37" spans="1:26" ht="17.25" customHeight="1">
      <c r="A37" s="366" t="s">
        <v>190</v>
      </c>
      <c r="B37" s="367"/>
      <c r="C37" s="367"/>
      <c r="D37" s="49" t="s">
        <v>91</v>
      </c>
      <c r="E37" s="53">
        <v>10</v>
      </c>
      <c r="F37" s="49">
        <v>20</v>
      </c>
      <c r="G37" s="49">
        <v>30</v>
      </c>
      <c r="H37" s="49">
        <v>40</v>
      </c>
      <c r="I37" s="49">
        <v>50</v>
      </c>
      <c r="J37" s="49">
        <v>60</v>
      </c>
      <c r="K37" s="49">
        <v>70</v>
      </c>
      <c r="L37" s="49">
        <v>80</v>
      </c>
      <c r="M37" s="15">
        <v>90</v>
      </c>
      <c r="N37" s="366" t="s">
        <v>190</v>
      </c>
      <c r="O37" s="367"/>
      <c r="P37" s="367"/>
      <c r="Q37" s="49" t="s">
        <v>91</v>
      </c>
      <c r="R37" s="53">
        <v>10</v>
      </c>
      <c r="S37" s="49">
        <v>20</v>
      </c>
      <c r="T37" s="49">
        <v>30</v>
      </c>
      <c r="U37" s="49">
        <v>40</v>
      </c>
      <c r="V37" s="49">
        <v>50</v>
      </c>
      <c r="W37" s="49">
        <v>60</v>
      </c>
      <c r="X37" s="49">
        <v>70</v>
      </c>
      <c r="Y37" s="49">
        <v>80</v>
      </c>
      <c r="Z37" s="15">
        <v>90</v>
      </c>
    </row>
    <row r="38" spans="1:26" ht="17.25" customHeight="1">
      <c r="A38" s="378" t="s">
        <v>191</v>
      </c>
      <c r="B38" s="379"/>
      <c r="C38" s="379"/>
      <c r="D38" s="18" t="s">
        <v>192</v>
      </c>
      <c r="E38" s="28">
        <f>(E37/100)*'Financial Sustainability Work'!$E$4</f>
        <v>0</v>
      </c>
      <c r="F38" s="26">
        <f>(F37/100)*'Financial Sustainability Work'!$E$4</f>
        <v>0</v>
      </c>
      <c r="G38" s="26">
        <f>(G37/100)*'Financial Sustainability Work'!$E$4</f>
        <v>0</v>
      </c>
      <c r="H38" s="26">
        <f>(H37/100)*'Financial Sustainability Work'!$E$4</f>
        <v>0</v>
      </c>
      <c r="I38" s="26">
        <f>(I37/100)*'Financial Sustainability Work'!$E$4</f>
        <v>0</v>
      </c>
      <c r="J38" s="26">
        <f>(J37/100)*'Financial Sustainability Work'!$E$4</f>
        <v>0</v>
      </c>
      <c r="K38" s="26">
        <f>(K37/100)*'Financial Sustainability Work'!$E$4</f>
        <v>0</v>
      </c>
      <c r="L38" s="26">
        <f>(L37/100)*'Financial Sustainability Work'!$E$4</f>
        <v>0</v>
      </c>
      <c r="M38" s="27">
        <f>(M37/100)*'Financial Sustainability Work'!$E$4</f>
        <v>0</v>
      </c>
      <c r="N38" s="378" t="s">
        <v>191</v>
      </c>
      <c r="O38" s="379"/>
      <c r="P38" s="379"/>
      <c r="Q38" s="18" t="s">
        <v>192</v>
      </c>
      <c r="R38" s="28">
        <f>(R37/100)*'Financial Sustainability Work'!$E$4</f>
        <v>0</v>
      </c>
      <c r="S38" s="26">
        <f>(S37/100)*'Financial Sustainability Work'!$E$4</f>
        <v>0</v>
      </c>
      <c r="T38" s="26">
        <f>(T37/100)*'Financial Sustainability Work'!$E$4</f>
        <v>0</v>
      </c>
      <c r="U38" s="26">
        <f>(U37/100)*'Financial Sustainability Work'!$E$4</f>
        <v>0</v>
      </c>
      <c r="V38" s="26">
        <f>(V37/100)*'Financial Sustainability Work'!$E$4</f>
        <v>0</v>
      </c>
      <c r="W38" s="26">
        <f>(W37/100)*'Financial Sustainability Work'!$E$4</f>
        <v>0</v>
      </c>
      <c r="X38" s="26">
        <f>(X37/100)*'Financial Sustainability Work'!$E$4</f>
        <v>0</v>
      </c>
      <c r="Y38" s="26">
        <f>(Y37/100)*'Financial Sustainability Work'!$E$4</f>
        <v>0</v>
      </c>
      <c r="Z38" s="27">
        <f>(Z37/100)*'Financial Sustainability Work'!$E$4</f>
        <v>0</v>
      </c>
    </row>
    <row r="39" spans="1:26" ht="17.25" customHeight="1">
      <c r="A39" s="366" t="s">
        <v>193</v>
      </c>
      <c r="B39" s="367"/>
      <c r="C39" s="367"/>
      <c r="D39" s="49" t="s">
        <v>16</v>
      </c>
      <c r="E39" s="29" t="e">
        <f>(('Financial Sustainability Work'!#REF!*'Financial Sustainability Work'!$E$21*'Financial Sustainability Work'!$E$5*30*'Breakeven Analysis'!E38/1000)+'Financial Sustainability Work'!$H$41+'Financial Sustainability Work'!$H$56)/'Breakeven Analysis'!E38</f>
        <v>#REF!</v>
      </c>
      <c r="F39" s="14" t="e">
        <f>(('Financial Sustainability Work'!#REF!*'Financial Sustainability Work'!$E$21*'Financial Sustainability Work'!$E$5*30*'Breakeven Analysis'!F38/1000)+'Financial Sustainability Work'!$H$41+'Financial Sustainability Work'!$H$56)/'Breakeven Analysis'!F38</f>
        <v>#REF!</v>
      </c>
      <c r="G39" s="14" t="e">
        <f>(('Financial Sustainability Work'!#REF!*'Financial Sustainability Work'!$E$21*'Financial Sustainability Work'!$E$5*30*'Breakeven Analysis'!G38/1000)+'Financial Sustainability Work'!$H$41+'Financial Sustainability Work'!$H$56)/'Breakeven Analysis'!G38</f>
        <v>#REF!</v>
      </c>
      <c r="H39" s="14" t="e">
        <f>(('Financial Sustainability Work'!#REF!*'Financial Sustainability Work'!$E$21*'Financial Sustainability Work'!$E$5*30*'Breakeven Analysis'!H38/1000)+'Financial Sustainability Work'!$H$41+'Financial Sustainability Work'!$H$56)/'Breakeven Analysis'!H38</f>
        <v>#REF!</v>
      </c>
      <c r="I39" s="14" t="e">
        <f>(('Financial Sustainability Work'!#REF!*'Financial Sustainability Work'!$E$21*'Financial Sustainability Work'!$E$5*30*'Breakeven Analysis'!I38/1000)+'Financial Sustainability Work'!$H$41+'Financial Sustainability Work'!$H$56)/'Breakeven Analysis'!I38</f>
        <v>#REF!</v>
      </c>
      <c r="J39" s="14" t="e">
        <f>(('Financial Sustainability Work'!#REF!*'Financial Sustainability Work'!$E$21*'Financial Sustainability Work'!$E$5*30*'Breakeven Analysis'!J38/1000)+'Financial Sustainability Work'!$H$41+'Financial Sustainability Work'!$H$56)/'Breakeven Analysis'!J38</f>
        <v>#REF!</v>
      </c>
      <c r="K39" s="14" t="e">
        <f>(('Financial Sustainability Work'!#REF!*'Financial Sustainability Work'!$E$21*'Financial Sustainability Work'!$E$5*30*'Breakeven Analysis'!K38/1000)+'Financial Sustainability Work'!$H$41+'Financial Sustainability Work'!$H$56)/'Breakeven Analysis'!K38</f>
        <v>#REF!</v>
      </c>
      <c r="L39" s="14" t="e">
        <f>(('Financial Sustainability Work'!#REF!*'Financial Sustainability Work'!$E$21*'Financial Sustainability Work'!$E$5*30*'Breakeven Analysis'!L38/1000)+'Financial Sustainability Work'!$H$41+'Financial Sustainability Work'!$H$56)/'Breakeven Analysis'!L38</f>
        <v>#REF!</v>
      </c>
      <c r="M39" s="16" t="e">
        <f>(('Financial Sustainability Work'!#REF!*'Financial Sustainability Work'!$E$21*'Financial Sustainability Work'!$E$5*30*'Breakeven Analysis'!M38/1000)+'Financial Sustainability Work'!$H$41+'Financial Sustainability Work'!$H$56)/'Breakeven Analysis'!M38</f>
        <v>#REF!</v>
      </c>
      <c r="N39" s="366" t="s">
        <v>193</v>
      </c>
      <c r="O39" s="367"/>
      <c r="P39" s="367"/>
      <c r="Q39" s="49" t="str">
        <f>'Financial Sustainability Work'!E9</f>
        <v>UGX</v>
      </c>
      <c r="R39" s="38" t="e">
        <f>E39*'Financial Sustainability Work'!$E$13</f>
        <v>#REF!</v>
      </c>
      <c r="S39" s="32" t="e">
        <f>F39*'Financial Sustainability Work'!$E$13</f>
        <v>#REF!</v>
      </c>
      <c r="T39" s="32" t="e">
        <f>G39*'Financial Sustainability Work'!$E$13</f>
        <v>#REF!</v>
      </c>
      <c r="U39" s="32" t="e">
        <f>H39*'Financial Sustainability Work'!$E$13</f>
        <v>#REF!</v>
      </c>
      <c r="V39" s="32" t="e">
        <f>I39*'Financial Sustainability Work'!$E$13</f>
        <v>#REF!</v>
      </c>
      <c r="W39" s="32" t="e">
        <f>J39*'Financial Sustainability Work'!$E$13</f>
        <v>#REF!</v>
      </c>
      <c r="X39" s="32" t="e">
        <f>K39*'Financial Sustainability Work'!$E$13</f>
        <v>#REF!</v>
      </c>
      <c r="Y39" s="32" t="e">
        <f>L39*'Financial Sustainability Work'!$E$13</f>
        <v>#REF!</v>
      </c>
      <c r="Z39" s="33" t="e">
        <f>M39*'Financial Sustainability Work'!$E$13</f>
        <v>#REF!</v>
      </c>
    </row>
    <row r="40" spans="1:26" ht="17.25" customHeight="1">
      <c r="A40" s="8" t="s">
        <v>194</v>
      </c>
      <c r="B40" s="6"/>
      <c r="C40" s="6"/>
      <c r="D40" s="6"/>
      <c r="E40" s="6"/>
      <c r="F40" s="6"/>
      <c r="G40" s="6"/>
      <c r="H40" s="6"/>
      <c r="I40" s="6"/>
      <c r="J40" s="6"/>
      <c r="K40" s="6"/>
      <c r="L40" s="6"/>
      <c r="M40" s="7"/>
      <c r="N40" s="8" t="s">
        <v>194</v>
      </c>
      <c r="O40" s="6"/>
      <c r="P40" s="6"/>
      <c r="Q40" s="6"/>
      <c r="R40" s="6"/>
      <c r="S40" s="6"/>
      <c r="T40" s="6"/>
      <c r="U40" s="6"/>
      <c r="V40" s="6"/>
      <c r="W40" s="6"/>
      <c r="X40" s="6"/>
      <c r="Y40" s="6"/>
      <c r="Z40" s="7"/>
    </row>
    <row r="41" spans="1:26" ht="11.1" customHeight="1" thickBot="1">
      <c r="A41" s="9"/>
      <c r="B41" s="10"/>
      <c r="C41" s="10"/>
      <c r="D41" s="10"/>
      <c r="E41" s="10"/>
      <c r="F41" s="10"/>
      <c r="G41" s="10"/>
      <c r="H41" s="10"/>
      <c r="I41" s="10"/>
      <c r="J41" s="10"/>
      <c r="K41" s="10"/>
      <c r="L41" s="10"/>
      <c r="M41" s="11"/>
      <c r="N41" s="9"/>
      <c r="O41" s="10"/>
      <c r="P41" s="10"/>
      <c r="Q41" s="10"/>
      <c r="R41" s="10"/>
      <c r="S41" s="10"/>
      <c r="T41" s="10"/>
      <c r="U41" s="10"/>
      <c r="V41" s="10"/>
      <c r="W41" s="10"/>
      <c r="X41" s="10"/>
      <c r="Y41" s="10"/>
      <c r="Z41" s="11"/>
    </row>
  </sheetData>
  <sheetProtection algorithmName="SHA-512" hashValue="2hZj+MNxrPqbB60vAMgd7QMx+DHRPNzDKP0Llrh9mjGjqcFQx1LgT4bWtp2zccepNlqmyYlho0c/SkjmTurHTQ==" saltValue="69ettqeQPMHSDawdx3SrWQ==" spinCount="100000" sheet="1" objects="1" scenarios="1"/>
  <mergeCells count="66">
    <mergeCell ref="A39:C39"/>
    <mergeCell ref="A37:C37"/>
    <mergeCell ref="A38:C38"/>
    <mergeCell ref="A36:M36"/>
    <mergeCell ref="N36:Z36"/>
    <mergeCell ref="N38:P38"/>
    <mergeCell ref="N39:P39"/>
    <mergeCell ref="D20:I20"/>
    <mergeCell ref="J20:K20"/>
    <mergeCell ref="B23:C23"/>
    <mergeCell ref="B24:C24"/>
    <mergeCell ref="B25:C25"/>
    <mergeCell ref="B22:C22"/>
    <mergeCell ref="B26:C26"/>
    <mergeCell ref="B27:C27"/>
    <mergeCell ref="B28:C28"/>
    <mergeCell ref="B29:C29"/>
    <mergeCell ref="B30:C30"/>
    <mergeCell ref="B9:C9"/>
    <mergeCell ref="B8:C8"/>
    <mergeCell ref="B7:C7"/>
    <mergeCell ref="O19:X19"/>
    <mergeCell ref="O10:P10"/>
    <mergeCell ref="O9:P9"/>
    <mergeCell ref="O8:P8"/>
    <mergeCell ref="O7:P7"/>
    <mergeCell ref="O15:P15"/>
    <mergeCell ref="O14:P14"/>
    <mergeCell ref="O13:P13"/>
    <mergeCell ref="O11:P11"/>
    <mergeCell ref="O12:P12"/>
    <mergeCell ref="Q17:V17"/>
    <mergeCell ref="H4:I4"/>
    <mergeCell ref="B4:E4"/>
    <mergeCell ref="O4:R4"/>
    <mergeCell ref="U4:V4"/>
    <mergeCell ref="O5:P6"/>
    <mergeCell ref="D5:I5"/>
    <mergeCell ref="W20:X20"/>
    <mergeCell ref="J5:K5"/>
    <mergeCell ref="B19:K19"/>
    <mergeCell ref="D17:I17"/>
    <mergeCell ref="B20:C21"/>
    <mergeCell ref="O20:P21"/>
    <mergeCell ref="Q20:V20"/>
    <mergeCell ref="B5:C6"/>
    <mergeCell ref="B15:C15"/>
    <mergeCell ref="B14:C14"/>
    <mergeCell ref="B13:C13"/>
    <mergeCell ref="B12:C12"/>
    <mergeCell ref="B11:C11"/>
    <mergeCell ref="W5:X5"/>
    <mergeCell ref="Q5:V5"/>
    <mergeCell ref="B10:C10"/>
    <mergeCell ref="O24:P24"/>
    <mergeCell ref="O23:P23"/>
    <mergeCell ref="O22:P22"/>
    <mergeCell ref="O25:P25"/>
    <mergeCell ref="O26:P26"/>
    <mergeCell ref="D32:I32"/>
    <mergeCell ref="Q32:V32"/>
    <mergeCell ref="O27:P27"/>
    <mergeCell ref="O28:P28"/>
    <mergeCell ref="N37:P37"/>
    <mergeCell ref="O29:P29"/>
    <mergeCell ref="O30:P30"/>
  </mergeCells>
  <conditionalFormatting sqref="D7:I15">
    <cfRule type="cellIs" dxfId="16" priority="4" operator="greaterThan">
      <formula>$H$2</formula>
    </cfRule>
  </conditionalFormatting>
  <conditionalFormatting sqref="E39:M39">
    <cfRule type="cellIs" dxfId="15" priority="3" operator="greaterThan">
      <formula>$H$34</formula>
    </cfRule>
  </conditionalFormatting>
  <conditionalFormatting sqref="Q7:V15">
    <cfRule type="cellIs" dxfId="14" priority="2" operator="greaterThan">
      <formula>$U$2</formula>
    </cfRule>
  </conditionalFormatting>
  <conditionalFormatting sqref="R39:Z39">
    <cfRule type="cellIs" dxfId="13" priority="1" operator="greaterThan">
      <formula>$U$34</formula>
    </cfRule>
  </conditionalFormatting>
  <pageMargins left="0.7" right="1.0208333333333333" top="0.75" bottom="0.75" header="0.3" footer="0.3"/>
  <pageSetup orientation="portrait" r:id="rId1"/>
  <headerFooter>
    <oddHeader>&amp;L&amp;"-,Bold"&amp;K3155A4Example Community - Safe Water Project Operational and Replacement Costs
Page 3: Breakeven Analysis&amp;R&amp;G&amp;K00+000h</oddHeader>
    <oddFooter>&amp;L&amp;8&amp;K3155A4&amp;Z&amp;F&amp;R&amp;8&amp;K3155A4(Rev11_) &amp;D</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42"/>
  <sheetViews>
    <sheetView zoomScaleNormal="100" zoomScalePageLayoutView="85" workbookViewId="0">
      <selection activeCell="O27" sqref="O27"/>
    </sheetView>
  </sheetViews>
  <sheetFormatPr defaultColWidth="4.7109375" defaultRowHeight="18" customHeight="1"/>
  <cols>
    <col min="1" max="13" width="6.42578125" style="1" customWidth="1"/>
    <col min="14" max="14" width="7" style="1" customWidth="1"/>
    <col min="15" max="16" width="6.42578125" style="1" customWidth="1"/>
    <col min="17" max="26" width="8.28515625" style="1" customWidth="1"/>
    <col min="27" max="27" width="6.7109375" style="1" customWidth="1"/>
    <col min="28" max="28" width="5.42578125" style="1" customWidth="1"/>
    <col min="29" max="16384" width="4.7109375" style="1"/>
  </cols>
  <sheetData>
    <row r="1" spans="1:26" ht="18" customHeight="1">
      <c r="A1" s="2"/>
      <c r="B1" s="3"/>
      <c r="C1" s="3"/>
      <c r="D1" s="3"/>
      <c r="E1" s="3"/>
      <c r="F1" s="3"/>
      <c r="G1" s="3"/>
      <c r="H1" s="3"/>
      <c r="I1" s="3"/>
      <c r="J1" s="3"/>
      <c r="K1" s="3"/>
      <c r="L1" s="3"/>
      <c r="M1" s="4"/>
      <c r="N1" s="2"/>
      <c r="O1" s="3"/>
      <c r="P1" s="3"/>
      <c r="Q1" s="3"/>
      <c r="R1" s="3"/>
      <c r="S1" s="3"/>
      <c r="T1" s="3"/>
      <c r="U1" s="3"/>
      <c r="V1" s="3"/>
      <c r="W1" s="3"/>
      <c r="X1" s="3"/>
      <c r="Y1" s="3"/>
      <c r="Z1" s="4"/>
    </row>
    <row r="2" spans="1:26" ht="18" customHeight="1">
      <c r="A2" s="5"/>
      <c r="B2" s="75" t="s">
        <v>195</v>
      </c>
      <c r="C2" s="74"/>
      <c r="D2" s="74"/>
      <c r="E2" s="74"/>
      <c r="F2" s="74"/>
      <c r="G2" s="75" t="s">
        <v>196</v>
      </c>
      <c r="H2" s="6"/>
      <c r="I2" s="6"/>
      <c r="J2" s="6"/>
      <c r="K2" s="6"/>
      <c r="L2" s="6"/>
      <c r="M2" s="7"/>
      <c r="N2" s="5"/>
      <c r="O2" s="75" t="s">
        <v>195</v>
      </c>
      <c r="P2" s="74"/>
      <c r="Q2" s="74"/>
      <c r="R2" s="74"/>
      <c r="S2" s="74"/>
      <c r="T2" s="75" t="s">
        <v>196</v>
      </c>
      <c r="U2" s="6"/>
      <c r="V2" s="6"/>
      <c r="W2" s="6"/>
      <c r="X2" s="6"/>
      <c r="Y2" s="6"/>
      <c r="Z2" s="7"/>
    </row>
    <row r="3" spans="1:26" ht="18" customHeight="1">
      <c r="A3" s="5"/>
      <c r="B3" s="50" t="str">
        <f>'Financial Sustainability Work'!$E$9</f>
        <v>UGX</v>
      </c>
      <c r="C3" s="51" t="s">
        <v>16</v>
      </c>
      <c r="D3" s="359" t="s">
        <v>2</v>
      </c>
      <c r="E3" s="360"/>
      <c r="F3" s="76"/>
      <c r="G3" s="383" t="s">
        <v>197</v>
      </c>
      <c r="H3" s="383"/>
      <c r="I3" s="389"/>
      <c r="J3" s="382" t="s">
        <v>2</v>
      </c>
      <c r="K3" s="383"/>
      <c r="L3" s="52"/>
      <c r="M3" s="7"/>
      <c r="N3" s="5"/>
      <c r="O3" s="50" t="str">
        <f>'Financial Sustainability Work'!$E$9</f>
        <v>UGX</v>
      </c>
      <c r="P3" s="51" t="s">
        <v>16</v>
      </c>
      <c r="Q3" s="359" t="s">
        <v>2</v>
      </c>
      <c r="R3" s="360"/>
      <c r="S3" s="76"/>
      <c r="T3" s="383" t="s">
        <v>197</v>
      </c>
      <c r="U3" s="383"/>
      <c r="V3" s="389"/>
      <c r="W3" s="382" t="s">
        <v>2</v>
      </c>
      <c r="X3" s="383"/>
      <c r="Y3" s="78"/>
      <c r="Z3" s="7"/>
    </row>
    <row r="4" spans="1:26" ht="18" customHeight="1">
      <c r="A4" s="5"/>
      <c r="B4" s="105">
        <f>'Financial Sustainability Work'!$E$62</f>
        <v>0</v>
      </c>
      <c r="C4" s="103">
        <f>'Financial Sustainability Work'!$F$62</f>
        <v>0</v>
      </c>
      <c r="D4" s="386" t="s">
        <v>198</v>
      </c>
      <c r="E4" s="387"/>
      <c r="F4" s="6"/>
      <c r="G4" s="384" t="s">
        <v>199</v>
      </c>
      <c r="H4" s="384"/>
      <c r="I4" s="385"/>
      <c r="J4" s="386" t="s">
        <v>91</v>
      </c>
      <c r="K4" s="387"/>
      <c r="L4" s="96">
        <v>25</v>
      </c>
      <c r="M4" s="7"/>
      <c r="N4" s="5"/>
      <c r="O4" s="105">
        <f>'Financial Sustainability Work'!$E$62</f>
        <v>0</v>
      </c>
      <c r="P4" s="103">
        <f>'Financial Sustainability Work'!$F$62</f>
        <v>0</v>
      </c>
      <c r="Q4" s="386" t="s">
        <v>198</v>
      </c>
      <c r="R4" s="387"/>
      <c r="S4" s="6"/>
      <c r="T4" s="384" t="s">
        <v>199</v>
      </c>
      <c r="U4" s="384"/>
      <c r="V4" s="385"/>
      <c r="W4" s="386" t="s">
        <v>91</v>
      </c>
      <c r="X4" s="387"/>
      <c r="Y4" s="84">
        <f>L4</f>
        <v>25</v>
      </c>
      <c r="Z4" s="7"/>
    </row>
    <row r="5" spans="1:26" ht="18" customHeight="1">
      <c r="A5" s="5"/>
      <c r="B5" s="104">
        <f>'Financial Sustainability Work'!$E$61</f>
        <v>0</v>
      </c>
      <c r="C5" s="104">
        <f>'Financial Sustainability Work'!$F$61</f>
        <v>0</v>
      </c>
      <c r="D5" s="388" t="s">
        <v>200</v>
      </c>
      <c r="E5" s="384"/>
      <c r="F5" s="6"/>
      <c r="G5" s="384" t="s">
        <v>182</v>
      </c>
      <c r="H5" s="384"/>
      <c r="I5" s="385"/>
      <c r="J5" s="388" t="s">
        <v>192</v>
      </c>
      <c r="K5" s="384"/>
      <c r="L5" s="77">
        <f>(L4/100)*'Financial Sustainability Work'!$E$4</f>
        <v>0</v>
      </c>
      <c r="M5" s="7"/>
      <c r="N5" s="5"/>
      <c r="O5" s="104">
        <f>'Financial Sustainability Work'!$E$61</f>
        <v>0</v>
      </c>
      <c r="P5" s="104">
        <f>'Financial Sustainability Work'!$F$61</f>
        <v>0</v>
      </c>
      <c r="Q5" s="388" t="s">
        <v>200</v>
      </c>
      <c r="R5" s="384"/>
      <c r="S5" s="6"/>
      <c r="T5" s="384" t="s">
        <v>182</v>
      </c>
      <c r="U5" s="384"/>
      <c r="V5" s="385"/>
      <c r="W5" s="388" t="s">
        <v>192</v>
      </c>
      <c r="X5" s="384"/>
      <c r="Y5" s="85">
        <f>L5</f>
        <v>0</v>
      </c>
      <c r="Z5" s="7"/>
    </row>
    <row r="6" spans="1:26" ht="18" customHeight="1">
      <c r="A6" s="5"/>
      <c r="B6" s="6"/>
      <c r="C6" s="6"/>
      <c r="D6" s="6"/>
      <c r="E6" s="6"/>
      <c r="F6" s="6"/>
      <c r="G6" s="384" t="s">
        <v>201</v>
      </c>
      <c r="H6" s="384"/>
      <c r="I6" s="385"/>
      <c r="J6" s="388" t="s">
        <v>38</v>
      </c>
      <c r="K6" s="384"/>
      <c r="L6" s="97">
        <v>3.5</v>
      </c>
      <c r="M6" s="7"/>
      <c r="N6" s="5"/>
      <c r="O6" s="6"/>
      <c r="P6" s="6"/>
      <c r="Q6" s="6"/>
      <c r="R6" s="6"/>
      <c r="S6" s="6"/>
      <c r="T6" s="384" t="s">
        <v>201</v>
      </c>
      <c r="U6" s="384"/>
      <c r="V6" s="385"/>
      <c r="W6" s="388" t="s">
        <v>38</v>
      </c>
      <c r="X6" s="384"/>
      <c r="Y6" s="85">
        <f>L6</f>
        <v>3.5</v>
      </c>
      <c r="Z6" s="7"/>
    </row>
    <row r="7" spans="1:26" ht="18" customHeight="1">
      <c r="A7" s="5"/>
      <c r="B7" s="75" t="s">
        <v>202</v>
      </c>
      <c r="C7" s="74"/>
      <c r="D7" s="74"/>
      <c r="E7" s="74"/>
      <c r="F7" s="65"/>
      <c r="G7" s="390"/>
      <c r="H7" s="390"/>
      <c r="I7" s="391"/>
      <c r="J7" s="392" t="s">
        <v>37</v>
      </c>
      <c r="K7" s="390"/>
      <c r="L7" s="79">
        <f>L6*$J$13</f>
        <v>0</v>
      </c>
      <c r="M7" s="7"/>
      <c r="N7" s="5"/>
      <c r="O7" s="75" t="s">
        <v>202</v>
      </c>
      <c r="P7" s="74"/>
      <c r="Q7" s="74"/>
      <c r="R7" s="74"/>
      <c r="S7" s="65"/>
      <c r="T7" s="390"/>
      <c r="U7" s="390"/>
      <c r="V7" s="391"/>
      <c r="W7" s="388" t="s">
        <v>37</v>
      </c>
      <c r="X7" s="384"/>
      <c r="Y7" s="79">
        <f>L7</f>
        <v>0</v>
      </c>
      <c r="Z7" s="7"/>
    </row>
    <row r="8" spans="1:26" ht="18" customHeight="1">
      <c r="A8" s="5"/>
      <c r="B8" s="50" t="str">
        <f>'Financial Sustainability Work'!$E$9</f>
        <v>UGX</v>
      </c>
      <c r="C8" s="51" t="s">
        <v>16</v>
      </c>
      <c r="D8" s="359" t="s">
        <v>2</v>
      </c>
      <c r="E8" s="360"/>
      <c r="F8" s="384" t="s">
        <v>203</v>
      </c>
      <c r="G8" s="384"/>
      <c r="H8" s="384"/>
      <c r="I8" s="385"/>
      <c r="J8" s="386" t="s">
        <v>204</v>
      </c>
      <c r="K8" s="395"/>
      <c r="L8" s="81" t="e">
        <f>(L7*L5*30/'Financial Sustainability Work'!$E$14)*(C9-('Financial Sustainability Work'!$E$14/1000)*('Financial Sustainability Work'!#REF!+('Financial Sustainability Work'!$H$41*1000/(L5*L7*30))+('Financial Sustainability Work'!$H$56*1000/(L5*L7*30))))</f>
        <v>#DIV/0!</v>
      </c>
      <c r="M8" s="7"/>
      <c r="N8" s="5"/>
      <c r="O8" s="50" t="str">
        <f>'Financial Sustainability Work'!$E$9</f>
        <v>UGX</v>
      </c>
      <c r="P8" s="51" t="s">
        <v>16</v>
      </c>
      <c r="Q8" s="359" t="s">
        <v>2</v>
      </c>
      <c r="R8" s="360"/>
      <c r="S8" s="384" t="s">
        <v>203</v>
      </c>
      <c r="T8" s="384"/>
      <c r="U8" s="384"/>
      <c r="V8" s="384"/>
      <c r="W8" s="86" t="str">
        <f>'Financial Sustainability Work'!$E$9</f>
        <v>UGX</v>
      </c>
      <c r="X8" s="87" t="s">
        <v>52</v>
      </c>
      <c r="Y8" s="80" t="e">
        <f>L8*'Financial Sustainability Work'!$E$13</f>
        <v>#DIV/0!</v>
      </c>
      <c r="Z8" s="7"/>
    </row>
    <row r="9" spans="1:26" ht="18" customHeight="1">
      <c r="A9" s="5"/>
      <c r="B9" s="94">
        <v>2</v>
      </c>
      <c r="C9" s="57">
        <f>B9/'Financial Sustainability Work'!$E$13</f>
        <v>5.7142857142857147E-4</v>
      </c>
      <c r="D9" s="386" t="s">
        <v>198</v>
      </c>
      <c r="E9" s="387"/>
      <c r="F9" s="384" t="s">
        <v>205</v>
      </c>
      <c r="G9" s="384"/>
      <c r="H9" s="384"/>
      <c r="I9" s="385"/>
      <c r="J9" s="388" t="s">
        <v>204</v>
      </c>
      <c r="K9" s="385"/>
      <c r="L9" s="83" t="e">
        <f>($C$10-((('Financial Sustainability Work'!#REF!*'Financial Sustainability Work'!$E$21*'Financial Sustainability Work'!$E$5*30*L5/1000)+'Financial Sustainability Work'!$H$41+'Financial Sustainability Work'!$H$56)/L5))*L5</f>
        <v>#REF!</v>
      </c>
      <c r="M9" s="7"/>
      <c r="N9" s="5"/>
      <c r="O9" s="55">
        <f>B9</f>
        <v>2</v>
      </c>
      <c r="P9" s="57">
        <f>C9</f>
        <v>5.7142857142857147E-4</v>
      </c>
      <c r="Q9" s="386" t="s">
        <v>198</v>
      </c>
      <c r="R9" s="387"/>
      <c r="S9" s="384" t="s">
        <v>205</v>
      </c>
      <c r="T9" s="384"/>
      <c r="U9" s="384"/>
      <c r="V9" s="384"/>
      <c r="W9" s="91" t="str">
        <f>'Financial Sustainability Work'!$E$9</f>
        <v>UGX</v>
      </c>
      <c r="X9" s="92" t="s">
        <v>52</v>
      </c>
      <c r="Y9" s="88" t="e">
        <f>L9*'Financial Sustainability Work'!$E$13</f>
        <v>#REF!</v>
      </c>
      <c r="Z9" s="7"/>
    </row>
    <row r="10" spans="1:26" ht="18" customHeight="1">
      <c r="A10" s="5"/>
      <c r="B10" s="95">
        <v>170</v>
      </c>
      <c r="C10" s="56">
        <f>B10/'Financial Sustainability Work'!$E$13</f>
        <v>4.8571428571428571E-2</v>
      </c>
      <c r="D10" s="388" t="s">
        <v>200</v>
      </c>
      <c r="E10" s="384"/>
      <c r="F10" s="54"/>
      <c r="G10" s="54"/>
      <c r="H10" s="54"/>
      <c r="I10" s="54"/>
      <c r="J10" s="54"/>
      <c r="K10" s="54"/>
      <c r="L10" s="93"/>
      <c r="M10" s="7"/>
      <c r="N10" s="5"/>
      <c r="O10" s="54">
        <f>B10</f>
        <v>170</v>
      </c>
      <c r="P10" s="56">
        <f>C10</f>
        <v>4.8571428571428571E-2</v>
      </c>
      <c r="Q10" s="388" t="s">
        <v>200</v>
      </c>
      <c r="R10" s="384"/>
      <c r="S10" s="54"/>
      <c r="T10" s="54"/>
      <c r="U10" s="54"/>
      <c r="V10" s="54"/>
      <c r="W10" s="89"/>
      <c r="X10" s="90"/>
      <c r="Y10" s="93"/>
      <c r="Z10" s="7"/>
    </row>
    <row r="11" spans="1:26" ht="18" customHeight="1">
      <c r="A11" s="5"/>
      <c r="B11" s="6"/>
      <c r="C11" s="6"/>
      <c r="D11" s="6"/>
      <c r="E11" s="6"/>
      <c r="F11" s="54"/>
      <c r="G11" s="54"/>
      <c r="H11" s="54"/>
      <c r="I11" s="54"/>
      <c r="J11" s="54"/>
      <c r="K11" s="54"/>
      <c r="L11" s="93"/>
      <c r="M11" s="7"/>
      <c r="N11" s="5"/>
      <c r="O11" s="6"/>
      <c r="P11" s="6"/>
      <c r="Q11" s="6"/>
      <c r="R11" s="6"/>
      <c r="S11" s="54"/>
      <c r="T11" s="54"/>
      <c r="U11" s="54"/>
      <c r="V11" s="54"/>
      <c r="W11" s="89"/>
      <c r="X11" s="90"/>
      <c r="Y11" s="93"/>
      <c r="Z11" s="7"/>
    </row>
    <row r="12" spans="1:26" ht="17.25" customHeight="1">
      <c r="A12" s="5"/>
      <c r="B12" s="6"/>
      <c r="C12" s="6"/>
      <c r="D12" s="6"/>
      <c r="E12" s="6"/>
      <c r="F12" s="6"/>
      <c r="G12" s="6"/>
      <c r="H12" s="6"/>
      <c r="I12" s="6"/>
      <c r="J12" s="6"/>
      <c r="K12" s="6"/>
      <c r="L12" s="6"/>
      <c r="M12" s="7"/>
      <c r="N12" s="5"/>
      <c r="O12" s="6"/>
      <c r="P12" s="6"/>
      <c r="Q12" s="6"/>
      <c r="R12" s="6"/>
      <c r="S12" s="6"/>
      <c r="T12" s="6"/>
      <c r="U12" s="6"/>
      <c r="V12" s="6"/>
      <c r="W12" s="6"/>
      <c r="X12" s="6"/>
      <c r="Y12" s="6"/>
      <c r="Z12" s="7"/>
    </row>
    <row r="13" spans="1:26" ht="17.25" customHeight="1">
      <c r="A13" s="5"/>
      <c r="B13" s="377" t="s">
        <v>206</v>
      </c>
      <c r="C13" s="377"/>
      <c r="D13" s="377"/>
      <c r="E13" s="377"/>
      <c r="F13" s="67" t="s">
        <v>16</v>
      </c>
      <c r="G13" s="68" t="s">
        <v>207</v>
      </c>
      <c r="H13" s="376" t="s">
        <v>179</v>
      </c>
      <c r="I13" s="376"/>
      <c r="J13" s="69">
        <f>'Financial Sustainability Work'!$E$14</f>
        <v>0</v>
      </c>
      <c r="K13" s="70" t="s">
        <v>22</v>
      </c>
      <c r="L13" s="6"/>
      <c r="M13" s="7"/>
      <c r="N13" s="5"/>
      <c r="O13" s="377" t="s">
        <v>206</v>
      </c>
      <c r="P13" s="377"/>
      <c r="Q13" s="377"/>
      <c r="R13" s="377"/>
      <c r="S13" s="67" t="str">
        <f>'Financial Sustainability Work'!E9</f>
        <v>UGX</v>
      </c>
      <c r="T13" s="68" t="s">
        <v>207</v>
      </c>
      <c r="U13" s="376" t="s">
        <v>179</v>
      </c>
      <c r="V13" s="376"/>
      <c r="W13" s="69">
        <f>'Financial Sustainability Work'!$E$14</f>
        <v>0</v>
      </c>
      <c r="X13" s="70" t="s">
        <v>22</v>
      </c>
      <c r="Y13" s="6"/>
      <c r="Z13" s="7"/>
    </row>
    <row r="14" spans="1:26" ht="17.25" customHeight="1">
      <c r="A14" s="5"/>
      <c r="B14" s="372" t="s">
        <v>180</v>
      </c>
      <c r="C14" s="373"/>
      <c r="D14" s="359" t="s">
        <v>181</v>
      </c>
      <c r="E14" s="360"/>
      <c r="F14" s="360"/>
      <c r="G14" s="360"/>
      <c r="H14" s="360"/>
      <c r="I14" s="361"/>
      <c r="J14" s="396" t="s">
        <v>182</v>
      </c>
      <c r="K14" s="372"/>
      <c r="L14" s="6"/>
      <c r="M14" s="7"/>
      <c r="N14" s="5"/>
      <c r="O14" s="372" t="s">
        <v>180</v>
      </c>
      <c r="P14" s="372"/>
      <c r="Q14" s="359" t="s">
        <v>181</v>
      </c>
      <c r="R14" s="360"/>
      <c r="S14" s="360"/>
      <c r="T14" s="360"/>
      <c r="U14" s="360"/>
      <c r="V14" s="361"/>
      <c r="W14" s="396" t="s">
        <v>182</v>
      </c>
      <c r="X14" s="372"/>
      <c r="Y14" s="6"/>
      <c r="Z14" s="7"/>
    </row>
    <row r="15" spans="1:26" ht="17.25" customHeight="1">
      <c r="A15" s="5"/>
      <c r="B15" s="374"/>
      <c r="C15" s="375"/>
      <c r="D15" s="17">
        <v>1</v>
      </c>
      <c r="E15" s="18">
        <v>2</v>
      </c>
      <c r="F15" s="18">
        <v>3</v>
      </c>
      <c r="G15" s="18">
        <v>4</v>
      </c>
      <c r="H15" s="18">
        <v>5</v>
      </c>
      <c r="I15" s="19">
        <v>6</v>
      </c>
      <c r="J15" s="51" t="s">
        <v>183</v>
      </c>
      <c r="K15" s="51" t="s">
        <v>184</v>
      </c>
      <c r="L15" s="6"/>
      <c r="M15" s="7"/>
      <c r="N15" s="5"/>
      <c r="O15" s="374"/>
      <c r="P15" s="374"/>
      <c r="Q15" s="17">
        <v>1</v>
      </c>
      <c r="R15" s="18">
        <v>2</v>
      </c>
      <c r="S15" s="18">
        <v>3</v>
      </c>
      <c r="T15" s="18">
        <v>4</v>
      </c>
      <c r="U15" s="18">
        <v>5</v>
      </c>
      <c r="V15" s="19">
        <v>6</v>
      </c>
      <c r="W15" s="51" t="s">
        <v>183</v>
      </c>
      <c r="X15" s="51" t="s">
        <v>184</v>
      </c>
      <c r="Y15" s="6"/>
      <c r="Z15" s="7"/>
    </row>
    <row r="16" spans="1:26" ht="17.25" customHeight="1">
      <c r="A16" s="5"/>
      <c r="B16" s="370">
        <v>10</v>
      </c>
      <c r="C16" s="370"/>
      <c r="D16" s="46" t="e">
        <f>(D$25*$J16*30/'Financial Sustainability Work'!$E$14)*($C$9-'Breakeven Analysis'!D7)</f>
        <v>#DIV/0!</v>
      </c>
      <c r="E16" s="47" t="e">
        <f>(E$25*$J16*30/'Financial Sustainability Work'!$E$14)*($C$9-'Breakeven Analysis'!E7)</f>
        <v>#DIV/0!</v>
      </c>
      <c r="F16" s="47" t="e">
        <f>(F$25*$J16*30/'Financial Sustainability Work'!$E$14)*($C$9-'Breakeven Analysis'!F7)</f>
        <v>#DIV/0!</v>
      </c>
      <c r="G16" s="47" t="e">
        <f>(G$25*$J16*30/'Financial Sustainability Work'!$E$14)*($C$9-'Breakeven Analysis'!G7)</f>
        <v>#DIV/0!</v>
      </c>
      <c r="H16" s="47" t="e">
        <f>(H$25*$J16*30/'Financial Sustainability Work'!$E$14)*($C$9-'Breakeven Analysis'!H7)</f>
        <v>#DIV/0!</v>
      </c>
      <c r="I16" s="48" t="e">
        <f>(I$25*$J16*30/'Financial Sustainability Work'!$E$14)*($C$9-'Breakeven Analysis'!I7)</f>
        <v>#DIV/0!</v>
      </c>
      <c r="J16" s="13">
        <f>(B16/100)*'Financial Sustainability Work'!$E$4</f>
        <v>0</v>
      </c>
      <c r="K16" s="13">
        <f>(B16/100)*'Financial Sustainability Work'!$E$6</f>
        <v>0</v>
      </c>
      <c r="L16" s="6"/>
      <c r="M16" s="7"/>
      <c r="N16" s="5"/>
      <c r="O16" s="370">
        <v>10</v>
      </c>
      <c r="P16" s="370"/>
      <c r="Q16" s="38" t="e">
        <f>D16*'Financial Sustainability Work'!$E$13</f>
        <v>#DIV/0!</v>
      </c>
      <c r="R16" s="32" t="e">
        <f>E16*'Financial Sustainability Work'!$E$13</f>
        <v>#DIV/0!</v>
      </c>
      <c r="S16" s="32" t="e">
        <f>F16*'Financial Sustainability Work'!$E$13</f>
        <v>#DIV/0!</v>
      </c>
      <c r="T16" s="32" t="e">
        <f>G16*'Financial Sustainability Work'!$E$13</f>
        <v>#DIV/0!</v>
      </c>
      <c r="U16" s="32" t="e">
        <f>H16*'Financial Sustainability Work'!$E$13</f>
        <v>#DIV/0!</v>
      </c>
      <c r="V16" s="42" t="e">
        <f>I16*'Financial Sustainability Work'!$E$13</f>
        <v>#DIV/0!</v>
      </c>
      <c r="W16" s="13">
        <f>(O16/100)*'Financial Sustainability Work'!$E$4</f>
        <v>0</v>
      </c>
      <c r="X16" s="13">
        <f>(O16/100)*'Financial Sustainability Work'!$E$6</f>
        <v>0</v>
      </c>
      <c r="Y16" s="6"/>
      <c r="Z16" s="7"/>
    </row>
    <row r="17" spans="1:26" ht="17.25" customHeight="1">
      <c r="A17" s="5"/>
      <c r="B17" s="362">
        <v>20</v>
      </c>
      <c r="C17" s="362"/>
      <c r="D17" s="43" t="e">
        <f>(D$25*$J17*30/'Financial Sustainability Work'!$E$14)*($C$9-'Breakeven Analysis'!D8)</f>
        <v>#DIV/0!</v>
      </c>
      <c r="E17" s="44" t="e">
        <f>(E$25*$J17*30/'Financial Sustainability Work'!$E$14)*($C$9-'Breakeven Analysis'!E8)</f>
        <v>#DIV/0!</v>
      </c>
      <c r="F17" s="44" t="e">
        <f>(F$25*$J17*30/'Financial Sustainability Work'!$E$14)*($C$9-'Breakeven Analysis'!F8)</f>
        <v>#DIV/0!</v>
      </c>
      <c r="G17" s="44" t="e">
        <f>(G$25*$J17*30/'Financial Sustainability Work'!$E$14)*($C$9-'Breakeven Analysis'!G8)</f>
        <v>#DIV/0!</v>
      </c>
      <c r="H17" s="44" t="e">
        <f>(H$25*$J17*30/'Financial Sustainability Work'!$E$14)*($C$9-'Breakeven Analysis'!H8)</f>
        <v>#DIV/0!</v>
      </c>
      <c r="I17" s="45" t="e">
        <f>(I$25*$J17*30/'Financial Sustainability Work'!$E$14)*($C$9-'Breakeven Analysis'!I8)</f>
        <v>#DIV/0!</v>
      </c>
      <c r="J17" s="20">
        <f>(B17/100)*'Financial Sustainability Work'!$E$4</f>
        <v>0</v>
      </c>
      <c r="K17" s="20">
        <f>(B17/100)*'Financial Sustainability Work'!$E$6</f>
        <v>0</v>
      </c>
      <c r="L17" s="6"/>
      <c r="M17" s="7"/>
      <c r="N17" s="5"/>
      <c r="O17" s="362">
        <v>20</v>
      </c>
      <c r="P17" s="362"/>
      <c r="Q17" s="43" t="e">
        <f>D17*'Financial Sustainability Work'!$E$13</f>
        <v>#DIV/0!</v>
      </c>
      <c r="R17" s="44" t="e">
        <f>E17*'Financial Sustainability Work'!$E$13</f>
        <v>#DIV/0!</v>
      </c>
      <c r="S17" s="44" t="e">
        <f>F17*'Financial Sustainability Work'!$E$13</f>
        <v>#DIV/0!</v>
      </c>
      <c r="T17" s="44" t="e">
        <f>G17*'Financial Sustainability Work'!$E$13</f>
        <v>#DIV/0!</v>
      </c>
      <c r="U17" s="44" t="e">
        <f>H17*'Financial Sustainability Work'!$E$13</f>
        <v>#DIV/0!</v>
      </c>
      <c r="V17" s="45" t="e">
        <f>I17*'Financial Sustainability Work'!$E$13</f>
        <v>#DIV/0!</v>
      </c>
      <c r="W17" s="20">
        <f>(O17/100)*'Financial Sustainability Work'!$E$4</f>
        <v>0</v>
      </c>
      <c r="X17" s="20">
        <f>(O17/100)*'Financial Sustainability Work'!$E$6</f>
        <v>0</v>
      </c>
      <c r="Y17" s="6"/>
      <c r="Z17" s="7"/>
    </row>
    <row r="18" spans="1:26" ht="17.25" customHeight="1">
      <c r="A18" s="5"/>
      <c r="B18" s="364">
        <v>30</v>
      </c>
      <c r="C18" s="364"/>
      <c r="D18" s="38" t="e">
        <f>(D$25*$J18*30/'Financial Sustainability Work'!$E$14)*($C$9-'Breakeven Analysis'!D9)</f>
        <v>#DIV/0!</v>
      </c>
      <c r="E18" s="32" t="e">
        <f>(E$25*$J18*30/'Financial Sustainability Work'!$E$14)*($C$9-'Breakeven Analysis'!E9)</f>
        <v>#DIV/0!</v>
      </c>
      <c r="F18" s="32" t="e">
        <f>(F$25*$J18*30/'Financial Sustainability Work'!$E$14)*($C$9-'Breakeven Analysis'!F9)</f>
        <v>#DIV/0!</v>
      </c>
      <c r="G18" s="32" t="e">
        <f>(G$25*$J18*30/'Financial Sustainability Work'!$E$14)*($C$9-'Breakeven Analysis'!G9)</f>
        <v>#DIV/0!</v>
      </c>
      <c r="H18" s="32" t="e">
        <f>(H$25*$J18*30/'Financial Sustainability Work'!$E$14)*($C$9-'Breakeven Analysis'!H9)</f>
        <v>#DIV/0!</v>
      </c>
      <c r="I18" s="42" t="e">
        <f>(I$25*$J18*30/'Financial Sustainability Work'!$E$14)*($C$9-'Breakeven Analysis'!I9)</f>
        <v>#DIV/0!</v>
      </c>
      <c r="J18" s="13">
        <f>(B18/100)*'Financial Sustainability Work'!$E$4</f>
        <v>0</v>
      </c>
      <c r="K18" s="13">
        <f>(B18/100)*'Financial Sustainability Work'!$E$6</f>
        <v>0</v>
      </c>
      <c r="L18" s="6"/>
      <c r="M18" s="7"/>
      <c r="N18" s="5"/>
      <c r="O18" s="364">
        <v>30</v>
      </c>
      <c r="P18" s="364"/>
      <c r="Q18" s="38" t="e">
        <f>D18*'Financial Sustainability Work'!$E$13</f>
        <v>#DIV/0!</v>
      </c>
      <c r="R18" s="32" t="e">
        <f>E18*'Financial Sustainability Work'!$E$13</f>
        <v>#DIV/0!</v>
      </c>
      <c r="S18" s="32" t="e">
        <f>F18*'Financial Sustainability Work'!$E$13</f>
        <v>#DIV/0!</v>
      </c>
      <c r="T18" s="32" t="e">
        <f>G18*'Financial Sustainability Work'!$E$13</f>
        <v>#DIV/0!</v>
      </c>
      <c r="U18" s="32" t="e">
        <f>H18*'Financial Sustainability Work'!$E$13</f>
        <v>#DIV/0!</v>
      </c>
      <c r="V18" s="42" t="e">
        <f>I18*'Financial Sustainability Work'!$E$13</f>
        <v>#DIV/0!</v>
      </c>
      <c r="W18" s="13">
        <f>(O18/100)*'Financial Sustainability Work'!$E$4</f>
        <v>0</v>
      </c>
      <c r="X18" s="13">
        <f>(O18/100)*'Financial Sustainability Work'!$E$6</f>
        <v>0</v>
      </c>
      <c r="Y18" s="6"/>
      <c r="Z18" s="7"/>
    </row>
    <row r="19" spans="1:26" ht="17.25" customHeight="1">
      <c r="A19" s="5"/>
      <c r="B19" s="362">
        <v>40</v>
      </c>
      <c r="C19" s="362"/>
      <c r="D19" s="43" t="e">
        <f>(D$25*$J19*30/'Financial Sustainability Work'!$E$14)*($C$9-'Breakeven Analysis'!D10)</f>
        <v>#DIV/0!</v>
      </c>
      <c r="E19" s="44" t="e">
        <f>(E$25*$J19*30/'Financial Sustainability Work'!$E$14)*($C$9-'Breakeven Analysis'!E10)</f>
        <v>#DIV/0!</v>
      </c>
      <c r="F19" s="44" t="e">
        <f>(F$25*$J19*30/'Financial Sustainability Work'!$E$14)*($C$9-'Breakeven Analysis'!F10)</f>
        <v>#DIV/0!</v>
      </c>
      <c r="G19" s="44" t="e">
        <f>(G$25*$J19*30/'Financial Sustainability Work'!$E$14)*($C$9-'Breakeven Analysis'!G10)</f>
        <v>#DIV/0!</v>
      </c>
      <c r="H19" s="44" t="e">
        <f>(H$25*$J19*30/'Financial Sustainability Work'!$E$14)*($C$9-'Breakeven Analysis'!H10)</f>
        <v>#DIV/0!</v>
      </c>
      <c r="I19" s="45" t="e">
        <f>(I$25*$J19*30/'Financial Sustainability Work'!$E$14)*($C$9-'Breakeven Analysis'!I10)</f>
        <v>#DIV/0!</v>
      </c>
      <c r="J19" s="20">
        <f>(B19/100)*'Financial Sustainability Work'!$E$4</f>
        <v>0</v>
      </c>
      <c r="K19" s="20">
        <f>(B19/100)*'Financial Sustainability Work'!$E$6</f>
        <v>0</v>
      </c>
      <c r="L19" s="6"/>
      <c r="M19" s="7"/>
      <c r="N19" s="5"/>
      <c r="O19" s="362">
        <v>40</v>
      </c>
      <c r="P19" s="362"/>
      <c r="Q19" s="43" t="e">
        <f>D19*'Financial Sustainability Work'!$E$13</f>
        <v>#DIV/0!</v>
      </c>
      <c r="R19" s="44" t="e">
        <f>E19*'Financial Sustainability Work'!$E$13</f>
        <v>#DIV/0!</v>
      </c>
      <c r="S19" s="44" t="e">
        <f>F19*'Financial Sustainability Work'!$E$13</f>
        <v>#DIV/0!</v>
      </c>
      <c r="T19" s="44" t="e">
        <f>G19*'Financial Sustainability Work'!$E$13</f>
        <v>#DIV/0!</v>
      </c>
      <c r="U19" s="44" t="e">
        <f>H19*'Financial Sustainability Work'!$E$13</f>
        <v>#DIV/0!</v>
      </c>
      <c r="V19" s="45" t="e">
        <f>I19*'Financial Sustainability Work'!$E$13</f>
        <v>#DIV/0!</v>
      </c>
      <c r="W19" s="20">
        <f>(O19/100)*'Financial Sustainability Work'!$E$4</f>
        <v>0</v>
      </c>
      <c r="X19" s="20">
        <f>(O19/100)*'Financial Sustainability Work'!$E$6</f>
        <v>0</v>
      </c>
      <c r="Y19" s="6"/>
      <c r="Z19" s="7"/>
    </row>
    <row r="20" spans="1:26" ht="17.25" customHeight="1">
      <c r="A20" s="5"/>
      <c r="B20" s="364">
        <v>50</v>
      </c>
      <c r="C20" s="364"/>
      <c r="D20" s="38" t="e">
        <f>(D$25*$J20*30/'Financial Sustainability Work'!$E$14)*($C$9-'Breakeven Analysis'!D11)</f>
        <v>#DIV/0!</v>
      </c>
      <c r="E20" s="32" t="e">
        <f>(E$25*$J20*30/'Financial Sustainability Work'!$E$14)*($C$9-'Breakeven Analysis'!E11)</f>
        <v>#DIV/0!</v>
      </c>
      <c r="F20" s="32" t="e">
        <f>(F$25*$J20*30/'Financial Sustainability Work'!$E$14)*($C$9-'Breakeven Analysis'!F11)</f>
        <v>#DIV/0!</v>
      </c>
      <c r="G20" s="32" t="e">
        <f>(G$25*$J20*30/'Financial Sustainability Work'!$E$14)*($C$9-'Breakeven Analysis'!G11)</f>
        <v>#DIV/0!</v>
      </c>
      <c r="H20" s="32" t="e">
        <f>(H$25*$J20*30/'Financial Sustainability Work'!$E$14)*($C$9-'Breakeven Analysis'!H11)</f>
        <v>#DIV/0!</v>
      </c>
      <c r="I20" s="42" t="e">
        <f>(I$25*$J20*30/'Financial Sustainability Work'!$E$14)*($C$9-'Breakeven Analysis'!I11)</f>
        <v>#DIV/0!</v>
      </c>
      <c r="J20" s="13">
        <f>(B20/100)*'Financial Sustainability Work'!$E$4</f>
        <v>0</v>
      </c>
      <c r="K20" s="13">
        <f>(B20/100)*'Financial Sustainability Work'!$E$6</f>
        <v>0</v>
      </c>
      <c r="L20" s="6"/>
      <c r="M20" s="7"/>
      <c r="N20" s="5"/>
      <c r="O20" s="364">
        <v>50</v>
      </c>
      <c r="P20" s="364"/>
      <c r="Q20" s="38" t="e">
        <f>D20*'Financial Sustainability Work'!$E$13</f>
        <v>#DIV/0!</v>
      </c>
      <c r="R20" s="32" t="e">
        <f>E20*'Financial Sustainability Work'!$E$13</f>
        <v>#DIV/0!</v>
      </c>
      <c r="S20" s="32" t="e">
        <f>F20*'Financial Sustainability Work'!$E$13</f>
        <v>#DIV/0!</v>
      </c>
      <c r="T20" s="32" t="e">
        <f>G20*'Financial Sustainability Work'!$E$13</f>
        <v>#DIV/0!</v>
      </c>
      <c r="U20" s="32" t="e">
        <f>H20*'Financial Sustainability Work'!$E$13</f>
        <v>#DIV/0!</v>
      </c>
      <c r="V20" s="42" t="e">
        <f>I20*'Financial Sustainability Work'!$E$13</f>
        <v>#DIV/0!</v>
      </c>
      <c r="W20" s="13">
        <f>(O20/100)*'Financial Sustainability Work'!$E$4</f>
        <v>0</v>
      </c>
      <c r="X20" s="13">
        <f>(O20/100)*'Financial Sustainability Work'!$E$6</f>
        <v>0</v>
      </c>
      <c r="Y20" s="6"/>
      <c r="Z20" s="7"/>
    </row>
    <row r="21" spans="1:26" ht="17.25" customHeight="1">
      <c r="A21" s="5"/>
      <c r="B21" s="362">
        <v>60</v>
      </c>
      <c r="C21" s="362"/>
      <c r="D21" s="43" t="e">
        <f>(D$25*$J21*30/'Financial Sustainability Work'!$E$14)*($C$9-'Breakeven Analysis'!D12)</f>
        <v>#DIV/0!</v>
      </c>
      <c r="E21" s="44" t="e">
        <f>(E$25*$J21*30/'Financial Sustainability Work'!$E$14)*($C$9-'Breakeven Analysis'!E12)</f>
        <v>#DIV/0!</v>
      </c>
      <c r="F21" s="44" t="e">
        <f>(F$25*$J21*30/'Financial Sustainability Work'!$E$14)*($C$9-'Breakeven Analysis'!F12)</f>
        <v>#DIV/0!</v>
      </c>
      <c r="G21" s="44" t="e">
        <f>(G$25*$J21*30/'Financial Sustainability Work'!$E$14)*($C$9-'Breakeven Analysis'!G12)</f>
        <v>#DIV/0!</v>
      </c>
      <c r="H21" s="44" t="e">
        <f>(H$25*$J21*30/'Financial Sustainability Work'!$E$14)*($C$9-'Breakeven Analysis'!H12)</f>
        <v>#DIV/0!</v>
      </c>
      <c r="I21" s="45" t="e">
        <f>(I$25*$J21*30/'Financial Sustainability Work'!$E$14)*($C$9-'Breakeven Analysis'!I12)</f>
        <v>#DIV/0!</v>
      </c>
      <c r="J21" s="20">
        <f>(B21/100)*'Financial Sustainability Work'!$E$4</f>
        <v>0</v>
      </c>
      <c r="K21" s="20">
        <f>(B21/100)*'Financial Sustainability Work'!$E$6</f>
        <v>0</v>
      </c>
      <c r="L21" s="6"/>
      <c r="M21" s="7"/>
      <c r="N21" s="5"/>
      <c r="O21" s="362">
        <v>60</v>
      </c>
      <c r="P21" s="362"/>
      <c r="Q21" s="43" t="e">
        <f>D21*'Financial Sustainability Work'!$E$13</f>
        <v>#DIV/0!</v>
      </c>
      <c r="R21" s="44" t="e">
        <f>E21*'Financial Sustainability Work'!$E$13</f>
        <v>#DIV/0!</v>
      </c>
      <c r="S21" s="44" t="e">
        <f>F21*'Financial Sustainability Work'!$E$13</f>
        <v>#DIV/0!</v>
      </c>
      <c r="T21" s="44" t="e">
        <f>G21*'Financial Sustainability Work'!$E$13</f>
        <v>#DIV/0!</v>
      </c>
      <c r="U21" s="44" t="e">
        <f>H21*'Financial Sustainability Work'!$E$13</f>
        <v>#DIV/0!</v>
      </c>
      <c r="V21" s="45" t="e">
        <f>I21*'Financial Sustainability Work'!$E$13</f>
        <v>#DIV/0!</v>
      </c>
      <c r="W21" s="20">
        <f>(O21/100)*'Financial Sustainability Work'!$E$4</f>
        <v>0</v>
      </c>
      <c r="X21" s="20">
        <f>(O21/100)*'Financial Sustainability Work'!$E$6</f>
        <v>0</v>
      </c>
      <c r="Y21" s="6"/>
      <c r="Z21" s="7"/>
    </row>
    <row r="22" spans="1:26" ht="17.25" customHeight="1">
      <c r="A22" s="5"/>
      <c r="B22" s="364">
        <v>70</v>
      </c>
      <c r="C22" s="364"/>
      <c r="D22" s="38" t="e">
        <f>(D$25*$J22*30/'Financial Sustainability Work'!$E$14)*($C$9-'Breakeven Analysis'!D13)</f>
        <v>#DIV/0!</v>
      </c>
      <c r="E22" s="32" t="e">
        <f>(E$25*$J22*30/'Financial Sustainability Work'!$E$14)*($C$9-'Breakeven Analysis'!E13)</f>
        <v>#DIV/0!</v>
      </c>
      <c r="F22" s="32" t="e">
        <f>(F$25*$J22*30/'Financial Sustainability Work'!$E$14)*($C$9-'Breakeven Analysis'!F13)</f>
        <v>#DIV/0!</v>
      </c>
      <c r="G22" s="32" t="e">
        <f>(G$25*$J22*30/'Financial Sustainability Work'!$E$14)*($C$9-'Breakeven Analysis'!G13)</f>
        <v>#DIV/0!</v>
      </c>
      <c r="H22" s="32" t="e">
        <f>(H$25*$J22*30/'Financial Sustainability Work'!$E$14)*($C$9-'Breakeven Analysis'!H13)</f>
        <v>#DIV/0!</v>
      </c>
      <c r="I22" s="42" t="e">
        <f>(I$25*$J22*30/'Financial Sustainability Work'!$E$14)*($C$9-'Breakeven Analysis'!I13)</f>
        <v>#DIV/0!</v>
      </c>
      <c r="J22" s="13">
        <f>(B22/100)*'Financial Sustainability Work'!$E$4</f>
        <v>0</v>
      </c>
      <c r="K22" s="13">
        <f>(B22/100)*'Financial Sustainability Work'!$E$6</f>
        <v>0</v>
      </c>
      <c r="L22" s="6"/>
      <c r="M22" s="7"/>
      <c r="N22" s="5"/>
      <c r="O22" s="364">
        <v>70</v>
      </c>
      <c r="P22" s="364"/>
      <c r="Q22" s="38" t="e">
        <f>D22*'Financial Sustainability Work'!$E$13</f>
        <v>#DIV/0!</v>
      </c>
      <c r="R22" s="32" t="e">
        <f>E22*'Financial Sustainability Work'!$E$13</f>
        <v>#DIV/0!</v>
      </c>
      <c r="S22" s="32" t="e">
        <f>F22*'Financial Sustainability Work'!$E$13</f>
        <v>#DIV/0!</v>
      </c>
      <c r="T22" s="32" t="e">
        <f>G22*'Financial Sustainability Work'!$E$13</f>
        <v>#DIV/0!</v>
      </c>
      <c r="U22" s="32" t="e">
        <f>H22*'Financial Sustainability Work'!$E$13</f>
        <v>#DIV/0!</v>
      </c>
      <c r="V22" s="42" t="e">
        <f>I22*'Financial Sustainability Work'!$E$13</f>
        <v>#DIV/0!</v>
      </c>
      <c r="W22" s="13">
        <f>(O22/100)*'Financial Sustainability Work'!$E$4</f>
        <v>0</v>
      </c>
      <c r="X22" s="13">
        <f>(O22/100)*'Financial Sustainability Work'!$E$6</f>
        <v>0</v>
      </c>
      <c r="Y22" s="6"/>
      <c r="Z22" s="7"/>
    </row>
    <row r="23" spans="1:26" ht="17.25" customHeight="1">
      <c r="A23" s="5"/>
      <c r="B23" s="362">
        <v>80</v>
      </c>
      <c r="C23" s="362"/>
      <c r="D23" s="43" t="e">
        <f>(D$25*$J23*30/'Financial Sustainability Work'!$E$14)*($C$9-'Breakeven Analysis'!D14)</f>
        <v>#DIV/0!</v>
      </c>
      <c r="E23" s="44" t="e">
        <f>(E$25*$J23*30/'Financial Sustainability Work'!$E$14)*($C$9-'Breakeven Analysis'!E14)</f>
        <v>#DIV/0!</v>
      </c>
      <c r="F23" s="44" t="e">
        <f>(F$25*$J23*30/'Financial Sustainability Work'!$E$14)*($C$9-'Breakeven Analysis'!F14)</f>
        <v>#DIV/0!</v>
      </c>
      <c r="G23" s="44" t="e">
        <f>(G$25*$J23*30/'Financial Sustainability Work'!$E$14)*($C$9-'Breakeven Analysis'!G14)</f>
        <v>#DIV/0!</v>
      </c>
      <c r="H23" s="44" t="e">
        <f>(H$25*$J23*30/'Financial Sustainability Work'!$E$14)*($C$9-'Breakeven Analysis'!H14)</f>
        <v>#DIV/0!</v>
      </c>
      <c r="I23" s="45" t="e">
        <f>(I$25*$J23*30/'Financial Sustainability Work'!$E$14)*($C$9-'Breakeven Analysis'!I14)</f>
        <v>#DIV/0!</v>
      </c>
      <c r="J23" s="20">
        <f>(B23/100)*'Financial Sustainability Work'!$E$4</f>
        <v>0</v>
      </c>
      <c r="K23" s="20">
        <f>(B23/100)*'Financial Sustainability Work'!$E$6</f>
        <v>0</v>
      </c>
      <c r="L23" s="6"/>
      <c r="M23" s="7"/>
      <c r="N23" s="5"/>
      <c r="O23" s="362">
        <v>80</v>
      </c>
      <c r="P23" s="362"/>
      <c r="Q23" s="43" t="e">
        <f>D23*'Financial Sustainability Work'!$E$13</f>
        <v>#DIV/0!</v>
      </c>
      <c r="R23" s="44" t="e">
        <f>E23*'Financial Sustainability Work'!$E$13</f>
        <v>#DIV/0!</v>
      </c>
      <c r="S23" s="44" t="e">
        <f>F23*'Financial Sustainability Work'!$E$13</f>
        <v>#DIV/0!</v>
      </c>
      <c r="T23" s="44" t="e">
        <f>G23*'Financial Sustainability Work'!$E$13</f>
        <v>#DIV/0!</v>
      </c>
      <c r="U23" s="44" t="e">
        <f>H23*'Financial Sustainability Work'!$E$13</f>
        <v>#DIV/0!</v>
      </c>
      <c r="V23" s="45" t="e">
        <f>I23*'Financial Sustainability Work'!$E$13</f>
        <v>#DIV/0!</v>
      </c>
      <c r="W23" s="20">
        <f>(O23/100)*'Financial Sustainability Work'!$E$4</f>
        <v>0</v>
      </c>
      <c r="X23" s="20">
        <f>(O23/100)*'Financial Sustainability Work'!$E$6</f>
        <v>0</v>
      </c>
      <c r="Y23" s="6"/>
      <c r="Z23" s="7"/>
    </row>
    <row r="24" spans="1:26" ht="17.25" customHeight="1">
      <c r="A24" s="5"/>
      <c r="B24" s="368">
        <v>90</v>
      </c>
      <c r="C24" s="368"/>
      <c r="D24" s="71" t="e">
        <f>(D$25*$J24*30/'Financial Sustainability Work'!$E$14)*($C$9-'Breakeven Analysis'!D15)</f>
        <v>#DIV/0!</v>
      </c>
      <c r="E24" s="72" t="e">
        <f>(E$25*$J24*30/'Financial Sustainability Work'!$E$14)*($C$9-'Breakeven Analysis'!E15)</f>
        <v>#DIV/0!</v>
      </c>
      <c r="F24" s="72" t="e">
        <f>(F$25*$J24*30/'Financial Sustainability Work'!$E$14)*($C$9-'Breakeven Analysis'!F15)</f>
        <v>#DIV/0!</v>
      </c>
      <c r="G24" s="72" t="e">
        <f>(G$25*$J24*30/'Financial Sustainability Work'!$E$14)*($C$9-'Breakeven Analysis'!G15)</f>
        <v>#DIV/0!</v>
      </c>
      <c r="H24" s="72" t="e">
        <f>(H$25*$J24*30/'Financial Sustainability Work'!$E$14)*($C$9-'Breakeven Analysis'!H15)</f>
        <v>#DIV/0!</v>
      </c>
      <c r="I24" s="73" t="e">
        <f>(I$25*$J24*30/'Financial Sustainability Work'!$E$14)*($C$9-'Breakeven Analysis'!I15)</f>
        <v>#DIV/0!</v>
      </c>
      <c r="J24" s="26">
        <f>(B24/100)*'Financial Sustainability Work'!$E$4</f>
        <v>0</v>
      </c>
      <c r="K24" s="26">
        <f>(B24/100)*'Financial Sustainability Work'!$E$6</f>
        <v>0</v>
      </c>
      <c r="L24" s="6"/>
      <c r="M24" s="7"/>
      <c r="N24" s="5"/>
      <c r="O24" s="368">
        <v>90</v>
      </c>
      <c r="P24" s="368"/>
      <c r="Q24" s="71" t="e">
        <f>D24*'Financial Sustainability Work'!$E$13</f>
        <v>#DIV/0!</v>
      </c>
      <c r="R24" s="72" t="e">
        <f>E24*'Financial Sustainability Work'!$E$13</f>
        <v>#DIV/0!</v>
      </c>
      <c r="S24" s="72" t="e">
        <f>F24*'Financial Sustainability Work'!$E$13</f>
        <v>#DIV/0!</v>
      </c>
      <c r="T24" s="72" t="e">
        <f>G24*'Financial Sustainability Work'!$E$13</f>
        <v>#DIV/0!</v>
      </c>
      <c r="U24" s="72" t="e">
        <f>H24*'Financial Sustainability Work'!$E$13</f>
        <v>#DIV/0!</v>
      </c>
      <c r="V24" s="73" t="e">
        <f>I24*'Financial Sustainability Work'!$E$13</f>
        <v>#DIV/0!</v>
      </c>
      <c r="W24" s="26">
        <f>(O24/100)*'Financial Sustainability Work'!$E$4</f>
        <v>0</v>
      </c>
      <c r="X24" s="26">
        <f>(O24/100)*'Financial Sustainability Work'!$E$6</f>
        <v>0</v>
      </c>
      <c r="Y24" s="6"/>
      <c r="Z24" s="7"/>
    </row>
    <row r="25" spans="1:26" ht="17.25" customHeight="1">
      <c r="A25" s="5"/>
      <c r="B25" s="49"/>
      <c r="C25" s="49"/>
      <c r="D25" s="61">
        <f t="shared" ref="D25:I25" si="0">D15*$J$13</f>
        <v>0</v>
      </c>
      <c r="E25" s="62">
        <f t="shared" si="0"/>
        <v>0</v>
      </c>
      <c r="F25" s="62">
        <f t="shared" si="0"/>
        <v>0</v>
      </c>
      <c r="G25" s="62">
        <f t="shared" si="0"/>
        <v>0</v>
      </c>
      <c r="H25" s="62">
        <f t="shared" si="0"/>
        <v>0</v>
      </c>
      <c r="I25" s="63">
        <f t="shared" si="0"/>
        <v>0</v>
      </c>
      <c r="J25" s="13"/>
      <c r="K25" s="13"/>
      <c r="L25" s="6"/>
      <c r="M25" s="7"/>
      <c r="N25" s="5"/>
      <c r="O25" s="49"/>
      <c r="P25" s="49"/>
      <c r="Q25" s="61">
        <f t="shared" ref="Q25:V25" si="1">Q15*$J$13</f>
        <v>0</v>
      </c>
      <c r="R25" s="62">
        <f t="shared" si="1"/>
        <v>0</v>
      </c>
      <c r="S25" s="62">
        <f t="shared" si="1"/>
        <v>0</v>
      </c>
      <c r="T25" s="62">
        <f t="shared" si="1"/>
        <v>0</v>
      </c>
      <c r="U25" s="62">
        <f t="shared" si="1"/>
        <v>0</v>
      </c>
      <c r="V25" s="63">
        <f t="shared" si="1"/>
        <v>0</v>
      </c>
      <c r="W25" s="13"/>
      <c r="X25" s="13"/>
      <c r="Y25" s="6"/>
      <c r="Z25" s="7"/>
    </row>
    <row r="26" spans="1:26" ht="17.25" customHeight="1">
      <c r="A26" s="5"/>
      <c r="B26" s="49"/>
      <c r="C26" s="49"/>
      <c r="D26" s="359" t="s">
        <v>185</v>
      </c>
      <c r="E26" s="360"/>
      <c r="F26" s="360"/>
      <c r="G26" s="360"/>
      <c r="H26" s="360"/>
      <c r="I26" s="361"/>
      <c r="J26" s="13"/>
      <c r="K26" s="13"/>
      <c r="L26" s="6"/>
      <c r="M26" s="7"/>
      <c r="N26" s="5"/>
      <c r="O26" s="49"/>
      <c r="P26" s="49"/>
      <c r="Q26" s="359" t="s">
        <v>185</v>
      </c>
      <c r="R26" s="360"/>
      <c r="S26" s="360"/>
      <c r="T26" s="360"/>
      <c r="U26" s="360"/>
      <c r="V26" s="361"/>
      <c r="W26" s="13"/>
      <c r="X26" s="13"/>
      <c r="Y26" s="6"/>
      <c r="Z26" s="7"/>
    </row>
    <row r="27" spans="1:26" ht="17.25" customHeight="1">
      <c r="A27" s="5"/>
      <c r="B27" s="39" t="s">
        <v>208</v>
      </c>
      <c r="C27" s="49"/>
      <c r="D27" s="12"/>
      <c r="E27" s="12"/>
      <c r="F27" s="12"/>
      <c r="G27" s="12"/>
      <c r="H27" s="12"/>
      <c r="I27" s="12"/>
      <c r="J27" s="13"/>
      <c r="K27" s="13"/>
      <c r="L27" s="6"/>
      <c r="M27" s="7"/>
      <c r="N27" s="5"/>
      <c r="O27" s="39" t="s">
        <v>208</v>
      </c>
      <c r="P27" s="49"/>
      <c r="Q27" s="31"/>
      <c r="R27" s="31"/>
      <c r="S27" s="31"/>
      <c r="T27" s="31"/>
      <c r="U27" s="31"/>
      <c r="V27" s="31"/>
      <c r="W27" s="13"/>
      <c r="X27" s="13"/>
      <c r="Y27" s="6"/>
      <c r="Z27" s="7"/>
    </row>
    <row r="28" spans="1:26" ht="17.25" customHeight="1">
      <c r="A28" s="5"/>
      <c r="B28" s="39"/>
      <c r="C28" s="49"/>
      <c r="D28" s="12"/>
      <c r="E28" s="12"/>
      <c r="F28" s="12"/>
      <c r="G28" s="12"/>
      <c r="H28" s="12"/>
      <c r="I28" s="12"/>
      <c r="J28" s="13"/>
      <c r="K28" s="13"/>
      <c r="L28" s="6"/>
      <c r="M28" s="7"/>
      <c r="N28" s="5"/>
      <c r="O28" s="39"/>
      <c r="P28" s="49"/>
      <c r="Q28" s="31"/>
      <c r="R28" s="31"/>
      <c r="S28" s="31"/>
      <c r="T28" s="31"/>
      <c r="U28" s="31"/>
      <c r="V28" s="31"/>
      <c r="W28" s="13"/>
      <c r="X28" s="13"/>
      <c r="Y28" s="6"/>
      <c r="Z28" s="7"/>
    </row>
    <row r="29" spans="1:26" ht="17.25" customHeight="1">
      <c r="A29" s="5"/>
      <c r="B29" s="39"/>
      <c r="C29" s="49"/>
      <c r="D29" s="12"/>
      <c r="E29" s="12"/>
      <c r="F29" s="12"/>
      <c r="G29" s="12"/>
      <c r="H29" s="12"/>
      <c r="I29" s="12"/>
      <c r="J29" s="13"/>
      <c r="K29" s="13"/>
      <c r="L29" s="6"/>
      <c r="M29" s="7"/>
      <c r="N29" s="5"/>
      <c r="O29" s="39"/>
      <c r="P29" s="49"/>
      <c r="Q29" s="31"/>
      <c r="R29" s="31"/>
      <c r="S29" s="31"/>
      <c r="T29" s="31"/>
      <c r="U29" s="31"/>
      <c r="V29" s="31"/>
      <c r="W29" s="13"/>
      <c r="X29" s="13"/>
      <c r="Y29" s="6"/>
      <c r="Z29" s="7"/>
    </row>
    <row r="30" spans="1:26" ht="17.25" customHeight="1">
      <c r="A30" s="5"/>
      <c r="B30" s="6"/>
      <c r="C30" s="6"/>
      <c r="D30" s="6"/>
      <c r="E30" s="6"/>
      <c r="F30" s="6"/>
      <c r="G30" s="6"/>
      <c r="H30" s="6"/>
      <c r="I30" s="6"/>
      <c r="J30" s="6"/>
      <c r="K30" s="6"/>
      <c r="L30" s="6"/>
      <c r="M30" s="7"/>
      <c r="N30" s="5"/>
      <c r="O30" s="6"/>
      <c r="P30" s="6"/>
      <c r="Q30" s="6"/>
      <c r="R30" s="6"/>
      <c r="S30" s="6"/>
      <c r="T30" s="6"/>
      <c r="U30" s="6"/>
      <c r="V30" s="6"/>
      <c r="W30" s="6"/>
      <c r="X30" s="6"/>
      <c r="Y30" s="6"/>
      <c r="Z30" s="7"/>
    </row>
    <row r="31" spans="1:26" ht="17.25" customHeight="1">
      <c r="A31" s="380" t="s">
        <v>209</v>
      </c>
      <c r="B31" s="360"/>
      <c r="C31" s="360"/>
      <c r="D31" s="360"/>
      <c r="E31" s="360"/>
      <c r="F31" s="360"/>
      <c r="G31" s="360"/>
      <c r="H31" s="360"/>
      <c r="I31" s="360"/>
      <c r="J31" s="360"/>
      <c r="K31" s="360"/>
      <c r="L31" s="360"/>
      <c r="M31" s="381"/>
      <c r="N31" s="380" t="s">
        <v>209</v>
      </c>
      <c r="O31" s="360"/>
      <c r="P31" s="360"/>
      <c r="Q31" s="360"/>
      <c r="R31" s="360"/>
      <c r="S31" s="360"/>
      <c r="T31" s="360"/>
      <c r="U31" s="360"/>
      <c r="V31" s="360"/>
      <c r="W31" s="360"/>
      <c r="X31" s="360"/>
      <c r="Y31" s="360"/>
      <c r="Z31" s="381"/>
    </row>
    <row r="32" spans="1:26" ht="17.25" customHeight="1">
      <c r="A32" s="366" t="s">
        <v>190</v>
      </c>
      <c r="B32" s="367"/>
      <c r="C32" s="367"/>
      <c r="D32" s="49" t="s">
        <v>91</v>
      </c>
      <c r="E32" s="53">
        <v>10</v>
      </c>
      <c r="F32" s="49">
        <v>20</v>
      </c>
      <c r="G32" s="49">
        <v>30</v>
      </c>
      <c r="H32" s="49">
        <v>40</v>
      </c>
      <c r="I32" s="49">
        <v>50</v>
      </c>
      <c r="J32" s="49">
        <v>60</v>
      </c>
      <c r="K32" s="49">
        <v>70</v>
      </c>
      <c r="L32" s="49">
        <v>80</v>
      </c>
      <c r="M32" s="15">
        <v>90</v>
      </c>
      <c r="N32" s="366" t="s">
        <v>190</v>
      </c>
      <c r="O32" s="367"/>
      <c r="P32" s="367"/>
      <c r="Q32" s="49" t="s">
        <v>91</v>
      </c>
      <c r="R32" s="53">
        <v>10</v>
      </c>
      <c r="S32" s="49">
        <v>20</v>
      </c>
      <c r="T32" s="49">
        <v>30</v>
      </c>
      <c r="U32" s="49">
        <v>40</v>
      </c>
      <c r="V32" s="49">
        <v>50</v>
      </c>
      <c r="W32" s="49">
        <v>60</v>
      </c>
      <c r="X32" s="49">
        <v>70</v>
      </c>
      <c r="Y32" s="49">
        <v>80</v>
      </c>
      <c r="Z32" s="15">
        <v>90</v>
      </c>
    </row>
    <row r="33" spans="1:26" ht="18" customHeight="1">
      <c r="A33" s="378" t="s">
        <v>191</v>
      </c>
      <c r="B33" s="379"/>
      <c r="C33" s="379"/>
      <c r="D33" s="18" t="s">
        <v>192</v>
      </c>
      <c r="E33" s="28">
        <f>(E32/100)*'Financial Sustainability Work'!$E$4</f>
        <v>0</v>
      </c>
      <c r="F33" s="26">
        <f>(F32/100)*'Financial Sustainability Work'!$E$4</f>
        <v>0</v>
      </c>
      <c r="G33" s="26">
        <f>(G32/100)*'Financial Sustainability Work'!$E$4</f>
        <v>0</v>
      </c>
      <c r="H33" s="26">
        <f>(H32/100)*'Financial Sustainability Work'!$E$4</f>
        <v>0</v>
      </c>
      <c r="I33" s="26">
        <f>(I32/100)*'Financial Sustainability Work'!$E$4</f>
        <v>0</v>
      </c>
      <c r="J33" s="26">
        <f>(J32/100)*'Financial Sustainability Work'!$E$4</f>
        <v>0</v>
      </c>
      <c r="K33" s="26">
        <f>(K32/100)*'Financial Sustainability Work'!$E$4</f>
        <v>0</v>
      </c>
      <c r="L33" s="26">
        <f>(L32/100)*'Financial Sustainability Work'!$E$4</f>
        <v>0</v>
      </c>
      <c r="M33" s="27">
        <f>(M32/100)*'Financial Sustainability Work'!$E$4</f>
        <v>0</v>
      </c>
      <c r="N33" s="378" t="s">
        <v>191</v>
      </c>
      <c r="O33" s="379"/>
      <c r="P33" s="379"/>
      <c r="Q33" s="18" t="s">
        <v>192</v>
      </c>
      <c r="R33" s="28">
        <f>(R32/100)*'Financial Sustainability Work'!$E$4</f>
        <v>0</v>
      </c>
      <c r="S33" s="26">
        <f>(S32/100)*'Financial Sustainability Work'!$E$4</f>
        <v>0</v>
      </c>
      <c r="T33" s="26">
        <f>(T32/100)*'Financial Sustainability Work'!$E$4</f>
        <v>0</v>
      </c>
      <c r="U33" s="26">
        <f>(U32/100)*'Financial Sustainability Work'!$E$4</f>
        <v>0</v>
      </c>
      <c r="V33" s="26">
        <f>(V32/100)*'Financial Sustainability Work'!$E$4</f>
        <v>0</v>
      </c>
      <c r="W33" s="26">
        <f>(W32/100)*'Financial Sustainability Work'!$E$4</f>
        <v>0</v>
      </c>
      <c r="X33" s="26">
        <f>(X32/100)*'Financial Sustainability Work'!$E$4</f>
        <v>0</v>
      </c>
      <c r="Y33" s="26">
        <f>(Y32/100)*'Financial Sustainability Work'!$E$4</f>
        <v>0</v>
      </c>
      <c r="Z33" s="27">
        <f>(Z32/100)*'Financial Sustainability Work'!$E$4</f>
        <v>0</v>
      </c>
    </row>
    <row r="34" spans="1:26" ht="18" customHeight="1">
      <c r="A34" s="393" t="s">
        <v>210</v>
      </c>
      <c r="B34" s="394"/>
      <c r="C34" s="394"/>
      <c r="D34" s="49" t="s">
        <v>16</v>
      </c>
      <c r="E34" s="46" t="e">
        <f>($C$10-'Breakeven Analysis'!E39)*'Revenue Analysis'!E33</f>
        <v>#REF!</v>
      </c>
      <c r="F34" s="32" t="e">
        <f>($C$10-'Breakeven Analysis'!F39)*'Revenue Analysis'!F33</f>
        <v>#REF!</v>
      </c>
      <c r="G34" s="32" t="e">
        <f>($C$10-'Breakeven Analysis'!G39)*'Revenue Analysis'!G33</f>
        <v>#REF!</v>
      </c>
      <c r="H34" s="32" t="e">
        <f>($C$10-'Breakeven Analysis'!H39)*'Revenue Analysis'!H33</f>
        <v>#REF!</v>
      </c>
      <c r="I34" s="32" t="e">
        <f>($C$10-'Breakeven Analysis'!I39)*'Revenue Analysis'!I33</f>
        <v>#REF!</v>
      </c>
      <c r="J34" s="32" t="e">
        <f>($C$10-'Breakeven Analysis'!J39)*'Revenue Analysis'!J33</f>
        <v>#REF!</v>
      </c>
      <c r="K34" s="32" t="e">
        <f>($C$10-'Breakeven Analysis'!K39)*'Revenue Analysis'!K33</f>
        <v>#REF!</v>
      </c>
      <c r="L34" s="32" t="e">
        <f>($C$10-'Breakeven Analysis'!L39)*'Revenue Analysis'!L33</f>
        <v>#REF!</v>
      </c>
      <c r="M34" s="33" t="e">
        <f>($C$10-'Breakeven Analysis'!M39)*'Revenue Analysis'!M33</f>
        <v>#REF!</v>
      </c>
      <c r="N34" s="393" t="s">
        <v>210</v>
      </c>
      <c r="O34" s="394"/>
      <c r="P34" s="394"/>
      <c r="Q34" s="49" t="str">
        <f>'Financial Sustainability Work'!E9</f>
        <v>UGX</v>
      </c>
      <c r="R34" s="38" t="e">
        <f>E34*'Financial Sustainability Work'!$E$13</f>
        <v>#REF!</v>
      </c>
      <c r="S34" s="32" t="e">
        <f>F34*'Financial Sustainability Work'!$E$13</f>
        <v>#REF!</v>
      </c>
      <c r="T34" s="32" t="e">
        <f>G34*'Financial Sustainability Work'!$E$13</f>
        <v>#REF!</v>
      </c>
      <c r="U34" s="32" t="e">
        <f>H34*'Financial Sustainability Work'!$E$13</f>
        <v>#REF!</v>
      </c>
      <c r="V34" s="32" t="e">
        <f>I34*'Financial Sustainability Work'!$E$13</f>
        <v>#REF!</v>
      </c>
      <c r="W34" s="32" t="e">
        <f>J34*'Financial Sustainability Work'!$E$13</f>
        <v>#REF!</v>
      </c>
      <c r="X34" s="32" t="e">
        <f>K34*'Financial Sustainability Work'!$E$13</f>
        <v>#REF!</v>
      </c>
      <c r="Y34" s="32" t="e">
        <f>L34*'Financial Sustainability Work'!$E$13</f>
        <v>#REF!</v>
      </c>
      <c r="Z34" s="33" t="e">
        <f>M34*'Financial Sustainability Work'!$E$13</f>
        <v>#REF!</v>
      </c>
    </row>
    <row r="35" spans="1:26" ht="18" customHeight="1">
      <c r="A35" s="397" t="s">
        <v>211</v>
      </c>
      <c r="B35" s="398"/>
      <c r="C35" s="398"/>
      <c r="D35" s="398"/>
      <c r="E35" s="398"/>
      <c r="F35" s="398"/>
      <c r="G35" s="398"/>
      <c r="H35" s="398"/>
      <c r="I35" s="398"/>
      <c r="J35" s="398"/>
      <c r="K35" s="398"/>
      <c r="L35" s="398"/>
      <c r="M35" s="399"/>
      <c r="N35" s="397" t="s">
        <v>211</v>
      </c>
      <c r="O35" s="398"/>
      <c r="P35" s="398"/>
      <c r="Q35" s="398"/>
      <c r="R35" s="398"/>
      <c r="S35" s="398"/>
      <c r="T35" s="398"/>
      <c r="U35" s="398"/>
      <c r="V35" s="398"/>
      <c r="W35" s="398"/>
      <c r="X35" s="398"/>
      <c r="Y35" s="398"/>
      <c r="Z35" s="399"/>
    </row>
    <row r="36" spans="1:26" ht="18" customHeight="1">
      <c r="A36" s="397"/>
      <c r="B36" s="398"/>
      <c r="C36" s="398"/>
      <c r="D36" s="398"/>
      <c r="E36" s="398"/>
      <c r="F36" s="398"/>
      <c r="G36" s="398"/>
      <c r="H36" s="398"/>
      <c r="I36" s="398"/>
      <c r="J36" s="398"/>
      <c r="K36" s="398"/>
      <c r="L36" s="398"/>
      <c r="M36" s="399"/>
      <c r="N36" s="397"/>
      <c r="O36" s="398"/>
      <c r="P36" s="398"/>
      <c r="Q36" s="398"/>
      <c r="R36" s="398"/>
      <c r="S36" s="398"/>
      <c r="T36" s="398"/>
      <c r="U36" s="398"/>
      <c r="V36" s="398"/>
      <c r="W36" s="398"/>
      <c r="X36" s="398"/>
      <c r="Y36" s="398"/>
      <c r="Z36" s="399"/>
    </row>
    <row r="37" spans="1:26" ht="11.85" customHeight="1">
      <c r="A37" s="5"/>
      <c r="B37" s="6"/>
      <c r="C37" s="40"/>
      <c r="D37" s="40"/>
      <c r="E37" s="40"/>
      <c r="F37" s="6"/>
      <c r="G37" s="6"/>
      <c r="H37" s="6"/>
      <c r="I37" s="6"/>
      <c r="J37" s="6"/>
      <c r="K37" s="6"/>
      <c r="L37" s="6"/>
      <c r="M37" s="7"/>
      <c r="N37" s="5"/>
      <c r="O37" s="6"/>
      <c r="P37" s="6"/>
      <c r="Q37" s="6"/>
      <c r="R37" s="6"/>
      <c r="S37" s="6"/>
      <c r="T37" s="6"/>
      <c r="U37" s="6"/>
      <c r="V37" s="6"/>
      <c r="W37" s="6"/>
      <c r="X37" s="6"/>
      <c r="Y37" s="6"/>
      <c r="Z37" s="7"/>
    </row>
    <row r="38" spans="1:26" ht="11.85" customHeight="1">
      <c r="A38" s="5"/>
      <c r="B38" s="6"/>
      <c r="C38" s="40"/>
      <c r="D38" s="40"/>
      <c r="E38" s="40"/>
      <c r="F38" s="6"/>
      <c r="G38" s="6"/>
      <c r="H38" s="6"/>
      <c r="I38" s="6"/>
      <c r="J38" s="6"/>
      <c r="K38" s="6"/>
      <c r="L38" s="6"/>
      <c r="M38" s="7"/>
      <c r="N38" s="5"/>
      <c r="O38" s="6"/>
      <c r="P38" s="6"/>
      <c r="Q38" s="6"/>
      <c r="R38" s="6"/>
      <c r="S38" s="6"/>
      <c r="T38" s="6"/>
      <c r="U38" s="6"/>
      <c r="V38" s="6"/>
      <c r="W38" s="6"/>
      <c r="X38" s="6"/>
      <c r="Y38" s="6"/>
      <c r="Z38" s="7"/>
    </row>
    <row r="39" spans="1:26" ht="11.85" customHeight="1">
      <c r="A39" s="5"/>
      <c r="B39" s="40"/>
      <c r="C39" s="40"/>
      <c r="D39" s="40"/>
      <c r="E39" s="40"/>
      <c r="F39" s="6"/>
      <c r="G39" s="6"/>
      <c r="H39" s="6"/>
      <c r="I39" s="6"/>
      <c r="J39" s="6"/>
      <c r="K39" s="6"/>
      <c r="L39" s="6"/>
      <c r="M39" s="7"/>
      <c r="N39" s="5"/>
      <c r="O39" s="6"/>
      <c r="P39" s="6"/>
      <c r="Q39" s="6"/>
      <c r="R39" s="6"/>
      <c r="S39" s="6"/>
      <c r="T39" s="6"/>
      <c r="U39" s="6"/>
      <c r="V39" s="6"/>
      <c r="W39" s="6"/>
      <c r="X39" s="6"/>
      <c r="Y39" s="6"/>
      <c r="Z39" s="7"/>
    </row>
    <row r="40" spans="1:26" ht="11.85" customHeight="1" thickBot="1">
      <c r="A40" s="9"/>
      <c r="B40" s="10"/>
      <c r="C40" s="41"/>
      <c r="D40" s="41"/>
      <c r="E40" s="41"/>
      <c r="F40" s="10"/>
      <c r="G40" s="10"/>
      <c r="H40" s="10"/>
      <c r="I40" s="10"/>
      <c r="J40" s="10"/>
      <c r="K40" s="10"/>
      <c r="L40" s="10"/>
      <c r="M40" s="11"/>
      <c r="N40" s="9"/>
      <c r="O40" s="10"/>
      <c r="P40" s="10"/>
      <c r="Q40" s="10"/>
      <c r="R40" s="10"/>
      <c r="S40" s="10"/>
      <c r="T40" s="10"/>
      <c r="U40" s="10"/>
      <c r="V40" s="10"/>
      <c r="W40" s="10"/>
      <c r="X40" s="10"/>
      <c r="Y40" s="10"/>
      <c r="Z40" s="11"/>
    </row>
    <row r="41" spans="1:26" ht="18" customHeight="1">
      <c r="B41"/>
      <c r="C41"/>
      <c r="D41"/>
      <c r="E41"/>
    </row>
    <row r="42" spans="1:26" ht="18" customHeight="1">
      <c r="B42"/>
      <c r="C42"/>
      <c r="D42"/>
      <c r="E42"/>
    </row>
  </sheetData>
  <mergeCells count="76">
    <mergeCell ref="G3:I3"/>
    <mergeCell ref="N35:Z36"/>
    <mergeCell ref="Q9:R9"/>
    <mergeCell ref="Q10:R10"/>
    <mergeCell ref="N34:P34"/>
    <mergeCell ref="N31:Z31"/>
    <mergeCell ref="N32:P32"/>
    <mergeCell ref="W14:X14"/>
    <mergeCell ref="Q14:V14"/>
    <mergeCell ref="N33:P33"/>
    <mergeCell ref="O13:R13"/>
    <mergeCell ref="U13:V13"/>
    <mergeCell ref="Q26:V26"/>
    <mergeCell ref="S9:V9"/>
    <mergeCell ref="A35:M36"/>
    <mergeCell ref="D10:E10"/>
    <mergeCell ref="A32:C32"/>
    <mergeCell ref="J9:K9"/>
    <mergeCell ref="J8:K8"/>
    <mergeCell ref="B14:C15"/>
    <mergeCell ref="D14:I14"/>
    <mergeCell ref="J14:K14"/>
    <mergeCell ref="B16:C16"/>
    <mergeCell ref="B22:C22"/>
    <mergeCell ref="B23:C23"/>
    <mergeCell ref="D9:E9"/>
    <mergeCell ref="D8:E8"/>
    <mergeCell ref="A31:M31"/>
    <mergeCell ref="B13:E13"/>
    <mergeCell ref="H13:I13"/>
    <mergeCell ref="A34:C34"/>
    <mergeCell ref="A33:C33"/>
    <mergeCell ref="B24:C24"/>
    <mergeCell ref="O14:P15"/>
    <mergeCell ref="O16:P16"/>
    <mergeCell ref="O24:P24"/>
    <mergeCell ref="O23:P23"/>
    <mergeCell ref="O22:P22"/>
    <mergeCell ref="O21:P21"/>
    <mergeCell ref="O20:P20"/>
    <mergeCell ref="D26:I26"/>
    <mergeCell ref="O19:P19"/>
    <mergeCell ref="O18:P18"/>
    <mergeCell ref="O17:P17"/>
    <mergeCell ref="B17:C17"/>
    <mergeCell ref="B20:C20"/>
    <mergeCell ref="J4:K4"/>
    <mergeCell ref="J3:K3"/>
    <mergeCell ref="G5:I5"/>
    <mergeCell ref="J5:K5"/>
    <mergeCell ref="B21:C21"/>
    <mergeCell ref="B18:C18"/>
    <mergeCell ref="B19:C19"/>
    <mergeCell ref="G6:I7"/>
    <mergeCell ref="J7:K7"/>
    <mergeCell ref="J6:K6"/>
    <mergeCell ref="F9:I9"/>
    <mergeCell ref="F8:I8"/>
    <mergeCell ref="D3:E3"/>
    <mergeCell ref="D4:E4"/>
    <mergeCell ref="D5:E5"/>
    <mergeCell ref="G4:I4"/>
    <mergeCell ref="Q8:R8"/>
    <mergeCell ref="W3:X3"/>
    <mergeCell ref="T4:V4"/>
    <mergeCell ref="W4:X4"/>
    <mergeCell ref="T5:V5"/>
    <mergeCell ref="W5:X5"/>
    <mergeCell ref="W6:X6"/>
    <mergeCell ref="W7:X7"/>
    <mergeCell ref="S8:V8"/>
    <mergeCell ref="T3:V3"/>
    <mergeCell ref="T6:V7"/>
    <mergeCell ref="Q3:R3"/>
    <mergeCell ref="Q4:R4"/>
    <mergeCell ref="Q5:R5"/>
  </mergeCells>
  <conditionalFormatting sqref="C9">
    <cfRule type="cellIs" dxfId="12" priority="12" operator="lessThanOrEqual">
      <formula>$C$4</formula>
    </cfRule>
    <cfRule type="cellIs" dxfId="11" priority="13" operator="greaterThan">
      <formula>$C$4</formula>
    </cfRule>
  </conditionalFormatting>
  <conditionalFormatting sqref="C10">
    <cfRule type="cellIs" dxfId="10" priority="10" operator="lessThanOrEqual">
      <formula>$C$5</formula>
    </cfRule>
    <cfRule type="cellIs" dxfId="9" priority="11" operator="greaterThan">
      <formula>$C$5</formula>
    </cfRule>
  </conditionalFormatting>
  <conditionalFormatting sqref="L8:L9 Y8:Y9 D16:I24 Q16:V24 E34:M34 R34:Z34">
    <cfRule type="cellIs" dxfId="8" priority="1" operator="lessThan">
      <formula>0</formula>
    </cfRule>
  </conditionalFormatting>
  <conditionalFormatting sqref="O9">
    <cfRule type="cellIs" dxfId="7" priority="8" operator="lessThanOrEqual">
      <formula>$O$4</formula>
    </cfRule>
    <cfRule type="cellIs" dxfId="6" priority="9" operator="greaterThan">
      <formula>$O$4</formula>
    </cfRule>
  </conditionalFormatting>
  <conditionalFormatting sqref="O10">
    <cfRule type="cellIs" dxfId="5" priority="6" operator="lessThanOrEqual">
      <formula>$O$5</formula>
    </cfRule>
    <cfRule type="cellIs" dxfId="4" priority="7" operator="greaterThan">
      <formula>$O$5</formula>
    </cfRule>
  </conditionalFormatting>
  <conditionalFormatting sqref="P9">
    <cfRule type="cellIs" dxfId="3" priority="4" operator="lessThanOrEqual">
      <formula>$P$4</formula>
    </cfRule>
    <cfRule type="cellIs" dxfId="2" priority="5" operator="greaterThan">
      <formula>$P$4</formula>
    </cfRule>
  </conditionalFormatting>
  <conditionalFormatting sqref="P10">
    <cfRule type="cellIs" dxfId="1" priority="2" operator="lessThanOrEqual">
      <formula>$P$5</formula>
    </cfRule>
    <cfRule type="cellIs" dxfId="0" priority="3" operator="greaterThan">
      <formula>$P$5</formula>
    </cfRule>
  </conditionalFormatting>
  <pageMargins left="0.75" right="0.75" top="0.75" bottom="0.25" header="0.3" footer="0.3"/>
  <pageSetup orientation="portrait" r:id="rId1"/>
  <headerFooter>
    <oddHeader>&amp;L&amp;"-,Bold"&amp;K3155A4Example Community - Safe Water Project Operational and Replacement Costs
Page 4: Revenue Analysis&amp;R&amp;G&amp;K00+000h</oddHeader>
    <oddFooter>&amp;L&amp;8&amp;K3155A4&amp;Z&amp;F&amp;R&amp;8&amp;K3155A4(Rev11_) &amp;D</oddFooter>
  </headerFooter>
  <colBreaks count="1" manualBreakCount="1">
    <brk id="13" max="104857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0F2E4397A8DA4FA5BB50E5189DCBC1" ma:contentTypeVersion="15" ma:contentTypeDescription="Create a new document." ma:contentTypeScope="" ma:versionID="abadac07fec8c263553c75756f310222">
  <xsd:schema xmlns:xsd="http://www.w3.org/2001/XMLSchema" xmlns:xs="http://www.w3.org/2001/XMLSchema" xmlns:p="http://schemas.microsoft.com/office/2006/metadata/properties" xmlns:ns2="0dc8223d-c984-4256-b8e5-83bd0a2096c2" xmlns:ns3="2094ab6a-cea6-4a89-92f9-e2c81cd0e3b6" targetNamespace="http://schemas.microsoft.com/office/2006/metadata/properties" ma:root="true" ma:fieldsID="8cd6eae85d8f802413ee7ac5978a09f5" ns2:_="" ns3:_="">
    <xsd:import namespace="0dc8223d-c984-4256-b8e5-83bd0a2096c2"/>
    <xsd:import namespace="2094ab6a-cea6-4a89-92f9-e2c81cd0e3b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c8223d-c984-4256-b8e5-83bd0a2096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3395c2f-3a89-4a2f-b426-54c395ff81e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94ab6a-cea6-4a89-92f9-e2c81cd0e3b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4f9228a-fbdc-4d41-a3c3-7bd41d4b60fc}" ma:internalName="TaxCatchAll" ma:showField="CatchAllData" ma:web="2094ab6a-cea6-4a89-92f9-e2c81cd0e3b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0dc8223d-c984-4256-b8e5-83bd0a2096c2" xsi:nil="true"/>
    <TaxCatchAll xmlns="2094ab6a-cea6-4a89-92f9-e2c81cd0e3b6" xsi:nil="true"/>
    <lcf76f155ced4ddcb4097134ff3c332f xmlns="0dc8223d-c984-4256-b8e5-83bd0a2096c2">
      <Terms xmlns="http://schemas.microsoft.com/office/infopath/2007/PartnerControls"/>
    </lcf76f155ced4ddcb4097134ff3c332f>
    <SharedWithUsers xmlns="2094ab6a-cea6-4a89-92f9-e2c81cd0e3b6">
      <UserInfo>
        <DisplayName>Heidi Fuller</DisplayName>
        <AccountId>14</AccountId>
        <AccountType/>
      </UserInfo>
      <UserInfo>
        <DisplayName>Reuben Kogi</DisplayName>
        <AccountId>18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E42F39-E834-458F-A35E-338077CADB18}"/>
</file>

<file path=customXml/itemProps2.xml><?xml version="1.0" encoding="utf-8"?>
<ds:datastoreItem xmlns:ds="http://schemas.openxmlformats.org/officeDocument/2006/customXml" ds:itemID="{3FD5BF5F-F92A-4C15-B3C3-6278463458E3}"/>
</file>

<file path=customXml/itemProps3.xml><?xml version="1.0" encoding="utf-8"?>
<ds:datastoreItem xmlns:ds="http://schemas.openxmlformats.org/officeDocument/2006/customXml" ds:itemID="{15124939-CB3A-492A-9A9E-6DEE8E10F22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Armstrong</dc:creator>
  <cp:keywords/>
  <dc:description/>
  <cp:lastModifiedBy>Heidi Fuller</cp:lastModifiedBy>
  <cp:revision/>
  <dcterms:created xsi:type="dcterms:W3CDTF">2012-05-31T10:12:34Z</dcterms:created>
  <dcterms:modified xsi:type="dcterms:W3CDTF">2024-12-16T18:40:03Z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0x0101003F0F2E4397A8DA4FA5BB50E5189DCBC1</vt:lpwstr>
  </property>
  <property fmtid="{D5CDD505-2E9C-101B-9397-08002B2CF9AE}" pid="3" name="MediaServiceImageTags">
    <vt:lpwstr/>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