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defaultThemeVersion="124226"/>
  <mc:AlternateContent xmlns:mc="http://schemas.openxmlformats.org/markup-compatibility/2006">
    <mc:Choice Requires="x15">
      <x15ac:absPath xmlns:x15ac="http://schemas.microsoft.com/office/spreadsheetml/2010/11/ac" url="/Users/heidifuller/Desktop/O&amp;M Manual Checklists and Forms/"/>
    </mc:Choice>
  </mc:AlternateContent>
  <xr:revisionPtr revIDLastSave="142" documentId="13_ncr:1_{B18B7853-81C9-3648-8B92-D2236F76EF7C}" xr6:coauthVersionLast="47" xr6:coauthVersionMax="47" xr10:uidLastSave="{BF701D76-0B06-46E7-968B-4A99C1DFFE58}"/>
  <bookViews>
    <workbookView xWindow="0" yWindow="780" windowWidth="28800" windowHeight="15840" tabRatio="825" firstSheet="1" activeTab="2" xr2:uid="{00000000-000D-0000-FFFF-FFFF00000000}"/>
  </bookViews>
  <sheets>
    <sheet name="Financial Sustainability Work" sheetId="1" r:id="rId1"/>
    <sheet name="Additional Calculations" sheetId="13" r:id="rId2"/>
    <sheet name="Lifecycle Costing Chart" sheetId="14" r:id="rId3"/>
    <sheet name="Breakeven Analysis" sheetId="2" state="hidden" r:id="rId4"/>
    <sheet name="Revenue Analysis" sheetId="8" state="hidden" r:id="rId5"/>
  </sheets>
  <externalReferences>
    <externalReference r:id="rId6"/>
  </externalReferences>
  <definedNames>
    <definedName name="_xlnm.Print_Area" localSheetId="1">'Additional Calculations'!$A$1:$K$63</definedName>
    <definedName name="_xlnm.Print_Area" localSheetId="0">'Financial Sustainability Work'!$A$1:$J$80</definedName>
    <definedName name="TaskStatus" localSheetId="1">[1]Reference!$B$3:$B$6</definedName>
    <definedName name="Task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13" l="1"/>
  <c r="F60" i="13"/>
  <c r="J56" i="13"/>
  <c r="J54" i="13"/>
  <c r="J60" i="13"/>
  <c r="I60" i="13"/>
  <c r="J37" i="13"/>
  <c r="J35" i="13"/>
  <c r="I37" i="13"/>
  <c r="I35" i="13"/>
  <c r="J27" i="13"/>
  <c r="I29" i="13"/>
  <c r="I27" i="13"/>
  <c r="J21" i="13"/>
  <c r="J19" i="13"/>
  <c r="I21" i="13"/>
  <c r="J29" i="13"/>
  <c r="I19" i="13"/>
  <c r="B5" i="13"/>
  <c r="D60" i="1"/>
  <c r="D61" i="1"/>
  <c r="D62" i="1"/>
  <c r="D63" i="1"/>
  <c r="D64" i="1"/>
  <c r="D65" i="1"/>
  <c r="D66" i="1"/>
  <c r="D67" i="1"/>
  <c r="D68" i="1"/>
  <c r="E30" i="1"/>
  <c r="E61" i="1"/>
  <c r="F55" i="1"/>
  <c r="F54" i="1"/>
  <c r="F53" i="1"/>
  <c r="F52" i="1"/>
  <c r="F51" i="1"/>
  <c r="F50" i="1"/>
  <c r="F49" i="1"/>
  <c r="F48" i="1"/>
  <c r="F47" i="1"/>
  <c r="F46" i="1"/>
  <c r="F56" i="1" s="1"/>
  <c r="E26" i="1"/>
  <c r="F39" i="1"/>
  <c r="F33" i="1"/>
  <c r="F34" i="1"/>
  <c r="F35" i="1"/>
  <c r="F36" i="1"/>
  <c r="F37" i="1"/>
  <c r="F32" i="1"/>
  <c r="F31" i="1"/>
  <c r="F30" i="1"/>
  <c r="E23" i="1"/>
  <c r="F23" i="1" s="1"/>
  <c r="F21" i="1"/>
  <c r="E71" i="1" s="1"/>
  <c r="E38" i="1"/>
  <c r="F38" i="1" s="1"/>
  <c r="F41" i="13"/>
  <c r="F51" i="13"/>
  <c r="H28" i="1"/>
  <c r="G28" i="1"/>
  <c r="F73" i="1"/>
  <c r="E73" i="1"/>
  <c r="E74" i="1" l="1"/>
  <c r="F74" i="1" s="1"/>
  <c r="F28" i="1"/>
  <c r="E28" i="1" s="1"/>
  <c r="D13" i="1"/>
  <c r="J36" i="13"/>
  <c r="F34" i="13"/>
  <c r="F24" i="13"/>
  <c r="H29" i="1"/>
  <c r="F29" i="1" s="1"/>
  <c r="E29" i="1" s="1"/>
  <c r="G29" i="1"/>
  <c r="H12" i="13"/>
  <c r="F16" i="13"/>
  <c r="D8" i="13"/>
  <c r="F27" i="1"/>
  <c r="D4" i="13"/>
  <c r="C11" i="13" s="1"/>
  <c r="I11" i="13" s="1"/>
  <c r="F59" i="1"/>
  <c r="H26" i="1"/>
  <c r="F26" i="1"/>
  <c r="H45" i="1"/>
  <c r="F45" i="1"/>
  <c r="E6" i="1"/>
  <c r="D45" i="13"/>
  <c r="D30" i="1"/>
  <c r="G30" i="1"/>
  <c r="H30" i="1" s="1"/>
  <c r="F61" i="1"/>
  <c r="C54" i="13" l="1"/>
  <c r="G44" i="13"/>
  <c r="F56" i="13"/>
  <c r="I56" i="13"/>
  <c r="D60" i="13"/>
  <c r="I36" i="13"/>
  <c r="D19" i="13"/>
  <c r="F11" i="13"/>
  <c r="D27" i="13"/>
  <c r="G48" i="13"/>
  <c r="G47" i="13"/>
  <c r="D3" i="13" l="1"/>
  <c r="B54" i="13" l="1"/>
  <c r="F54" i="13"/>
  <c r="I54" i="13"/>
  <c r="C27" i="13"/>
  <c r="C19" i="13"/>
  <c r="B11" i="13"/>
  <c r="B38" i="13" s="1"/>
  <c r="F44" i="13"/>
  <c r="D5" i="13" l="1"/>
  <c r="G46" i="13" l="1"/>
  <c r="C12" i="13"/>
  <c r="F55" i="13"/>
  <c r="F12" i="13"/>
  <c r="I12" i="13" s="1"/>
  <c r="J38" i="13"/>
  <c r="I38" i="13" s="1"/>
  <c r="I30" i="13"/>
  <c r="J30" i="13" s="1"/>
  <c r="I20" i="13"/>
  <c r="J20" i="13" s="1"/>
  <c r="I28" i="13"/>
  <c r="J28" i="13" s="1"/>
  <c r="J55" i="13" l="1"/>
  <c r="F57" i="13"/>
  <c r="I22" i="13"/>
  <c r="J22" i="13" s="1"/>
  <c r="I55" i="13" l="1"/>
  <c r="I57" i="13" s="1"/>
  <c r="J57" i="13"/>
  <c r="G49" i="1"/>
  <c r="H49" i="1" l="1"/>
  <c r="F67" i="1"/>
  <c r="G48" i="1"/>
  <c r="G50" i="1"/>
  <c r="G51" i="1"/>
  <c r="G52" i="1"/>
  <c r="G53" i="1"/>
  <c r="G54" i="1"/>
  <c r="G47" i="1"/>
  <c r="G55" i="1" l="1"/>
  <c r="H55" i="1" s="1"/>
  <c r="H50" i="1" l="1"/>
  <c r="H52" i="1"/>
  <c r="H48" i="1"/>
  <c r="H47" i="1"/>
  <c r="H53" i="1"/>
  <c r="H54" i="1"/>
  <c r="H51" i="1"/>
  <c r="D11" i="1"/>
  <c r="G33" i="1" l="1"/>
  <c r="H33" i="1" s="1"/>
  <c r="F20" i="1" l="1"/>
  <c r="G37" i="1" l="1"/>
  <c r="H37" i="1" s="1"/>
  <c r="O3" i="8" l="1"/>
  <c r="B3" i="8"/>
  <c r="S2" i="2"/>
  <c r="S4" i="2"/>
  <c r="S34" i="2" s="1"/>
  <c r="W9" i="8" l="1"/>
  <c r="W8" i="8"/>
  <c r="O8" i="8"/>
  <c r="B8" i="8"/>
  <c r="Y6" i="8"/>
  <c r="Y4" i="8"/>
  <c r="L5" i="8" l="1"/>
  <c r="J16" i="8"/>
  <c r="O9" i="8"/>
  <c r="O10" i="8"/>
  <c r="Y5" i="8" l="1"/>
  <c r="M33" i="8" l="1"/>
  <c r="S13" i="8" l="1"/>
  <c r="W13" i="8"/>
  <c r="J13" i="8"/>
  <c r="Q39" i="2"/>
  <c r="W30" i="2"/>
  <c r="W29" i="2"/>
  <c r="W28" i="2"/>
  <c r="W27" i="2"/>
  <c r="W26" i="2"/>
  <c r="W25" i="2"/>
  <c r="W24" i="2"/>
  <c r="W23" i="2"/>
  <c r="W22" i="2"/>
  <c r="W4" i="2"/>
  <c r="J28" i="2"/>
  <c r="J26" i="2"/>
  <c r="J24" i="2"/>
  <c r="J23" i="2"/>
  <c r="J22" i="2"/>
  <c r="J15" i="2"/>
  <c r="J14" i="2"/>
  <c r="J13" i="2"/>
  <c r="J11" i="2"/>
  <c r="J10" i="2"/>
  <c r="J9" i="2"/>
  <c r="J8" i="2"/>
  <c r="J7" i="2"/>
  <c r="L7" i="8" l="1"/>
  <c r="D25" i="8"/>
  <c r="V25" i="8"/>
  <c r="R25" i="8"/>
  <c r="G25" i="8"/>
  <c r="U25" i="8"/>
  <c r="Q25" i="8"/>
  <c r="H25" i="8"/>
  <c r="T25" i="8"/>
  <c r="E25" i="8"/>
  <c r="I25" i="8"/>
  <c r="S25" i="8"/>
  <c r="F25" i="8"/>
  <c r="C10" i="8"/>
  <c r="C9" i="8"/>
  <c r="P9" i="8" s="1"/>
  <c r="Q34" i="8"/>
  <c r="Z33" i="8"/>
  <c r="Y33" i="8"/>
  <c r="X33" i="8"/>
  <c r="W33" i="8"/>
  <c r="V33" i="8"/>
  <c r="U33" i="8"/>
  <c r="T33" i="8"/>
  <c r="S33" i="8"/>
  <c r="R33" i="8"/>
  <c r="L33" i="8"/>
  <c r="K33" i="8"/>
  <c r="J33" i="8"/>
  <c r="I33" i="8"/>
  <c r="H33" i="8"/>
  <c r="G33" i="8"/>
  <c r="F33" i="8"/>
  <c r="E33" i="8"/>
  <c r="W24" i="8"/>
  <c r="J24" i="8"/>
  <c r="W23" i="8"/>
  <c r="J23" i="8"/>
  <c r="W22" i="8"/>
  <c r="J22" i="8"/>
  <c r="W21" i="8"/>
  <c r="J21" i="8"/>
  <c r="W20" i="8"/>
  <c r="J20" i="8"/>
  <c r="W19" i="8"/>
  <c r="J19" i="8"/>
  <c r="W18" i="8"/>
  <c r="J18" i="8"/>
  <c r="W17" i="8"/>
  <c r="J17" i="8"/>
  <c r="W16" i="8"/>
  <c r="J4" i="2"/>
  <c r="O5" i="8" l="1"/>
  <c r="U34" i="2"/>
  <c r="B5" i="8"/>
  <c r="P10" i="8"/>
  <c r="Y7" i="8"/>
  <c r="V31" i="2"/>
  <c r="T31" i="2"/>
  <c r="I31" i="2"/>
  <c r="E31" i="2"/>
  <c r="S31" i="2"/>
  <c r="H31" i="2"/>
  <c r="D31" i="2"/>
  <c r="R31" i="2"/>
  <c r="G31" i="2"/>
  <c r="U31" i="2"/>
  <c r="Q31" i="2"/>
  <c r="F31" i="2"/>
  <c r="Q16" i="2"/>
  <c r="S16" i="2"/>
  <c r="G16" i="2"/>
  <c r="V16" i="2"/>
  <c r="R16" i="2"/>
  <c r="H16" i="2"/>
  <c r="U16" i="2"/>
  <c r="E16" i="2"/>
  <c r="I16" i="2"/>
  <c r="T16" i="2"/>
  <c r="F16" i="2"/>
  <c r="D16" i="2"/>
  <c r="X30" i="2"/>
  <c r="X28" i="2"/>
  <c r="X26" i="2"/>
  <c r="X22" i="2"/>
  <c r="X23" i="2"/>
  <c r="X25" i="2"/>
  <c r="X29" i="2"/>
  <c r="X27" i="2"/>
  <c r="X24" i="2"/>
  <c r="X17" i="8"/>
  <c r="X18" i="8"/>
  <c r="X19" i="8"/>
  <c r="X20" i="8"/>
  <c r="X21" i="8"/>
  <c r="X22" i="8"/>
  <c r="X24" i="8"/>
  <c r="K16" i="8"/>
  <c r="K17" i="8"/>
  <c r="K18" i="8"/>
  <c r="K19" i="8"/>
  <c r="K20" i="8"/>
  <c r="K21" i="8"/>
  <c r="K22" i="8"/>
  <c r="K23" i="8"/>
  <c r="K24" i="8"/>
  <c r="X16" i="8"/>
  <c r="X23" i="8"/>
  <c r="G28" i="13" l="1"/>
  <c r="B4" i="8"/>
  <c r="O4" i="8"/>
  <c r="U2" i="2"/>
  <c r="P5" i="8"/>
  <c r="C5" i="8"/>
  <c r="H34" i="2"/>
  <c r="U23" i="2"/>
  <c r="U24" i="2"/>
  <c r="U26" i="2"/>
  <c r="U28" i="2"/>
  <c r="U22" i="2"/>
  <c r="T23" i="2"/>
  <c r="T24" i="2"/>
  <c r="T26" i="2"/>
  <c r="T22" i="2"/>
  <c r="T28" i="2"/>
  <c r="R23" i="2"/>
  <c r="R24" i="2"/>
  <c r="R26" i="2"/>
  <c r="R22" i="2"/>
  <c r="R28" i="2"/>
  <c r="Q22" i="2"/>
  <c r="Q26" i="2"/>
  <c r="Q28" i="2"/>
  <c r="Q24" i="2"/>
  <c r="Q23" i="2"/>
  <c r="S23" i="2"/>
  <c r="S22" i="2"/>
  <c r="S24" i="2"/>
  <c r="S26" i="2"/>
  <c r="S28" i="2"/>
  <c r="V23" i="2"/>
  <c r="V24" i="2"/>
  <c r="V22" i="2"/>
  <c r="V26" i="2"/>
  <c r="V28" i="2"/>
  <c r="G32" i="1"/>
  <c r="H32" i="1" s="1"/>
  <c r="G34" i="1"/>
  <c r="H34" i="1" s="1"/>
  <c r="G35" i="1"/>
  <c r="H35" i="1" s="1"/>
  <c r="G39" i="1"/>
  <c r="H39" i="1" s="1"/>
  <c r="G31" i="1"/>
  <c r="H31" i="1" s="1"/>
  <c r="H2" i="2" l="1"/>
  <c r="C4" i="8"/>
  <c r="P4" i="8"/>
  <c r="G36" i="1"/>
  <c r="H36" i="1" s="1"/>
  <c r="H41" i="1" l="1"/>
  <c r="E27" i="1" l="1"/>
  <c r="G27" i="1" l="1"/>
  <c r="G38" i="1"/>
  <c r="G41" i="1" l="1"/>
  <c r="H38" i="1"/>
  <c r="H27" i="1"/>
  <c r="E59" i="1"/>
  <c r="G26" i="1"/>
  <c r="G45" i="1"/>
  <c r="E45" i="1"/>
  <c r="Z38" i="2" l="1"/>
  <c r="Y38" i="2"/>
  <c r="X38" i="2"/>
  <c r="W38" i="2"/>
  <c r="V38" i="2"/>
  <c r="U38" i="2"/>
  <c r="T38" i="2"/>
  <c r="S38" i="2"/>
  <c r="R38" i="2"/>
  <c r="F38" i="2"/>
  <c r="G38" i="2"/>
  <c r="H38" i="2"/>
  <c r="I38" i="2"/>
  <c r="J38" i="2"/>
  <c r="K38" i="2"/>
  <c r="L38" i="2"/>
  <c r="M38" i="2"/>
  <c r="E38" i="2"/>
  <c r="J30" i="2"/>
  <c r="J29" i="2"/>
  <c r="F28" i="2"/>
  <c r="J27" i="2"/>
  <c r="F26" i="2"/>
  <c r="J25" i="2"/>
  <c r="F24" i="2"/>
  <c r="D23" i="2"/>
  <c r="E22" i="2"/>
  <c r="W15" i="2"/>
  <c r="W14" i="2"/>
  <c r="W13" i="2"/>
  <c r="W12" i="2"/>
  <c r="W11" i="2"/>
  <c r="W10" i="2"/>
  <c r="W9" i="2"/>
  <c r="W8" i="2"/>
  <c r="W7" i="2"/>
  <c r="J12" i="2"/>
  <c r="D25" i="2" l="1"/>
  <c r="V25" i="2"/>
  <c r="R25" i="2"/>
  <c r="U25" i="2"/>
  <c r="Q25" i="2"/>
  <c r="T25" i="2"/>
  <c r="S25" i="2"/>
  <c r="D29" i="2"/>
  <c r="V29" i="2"/>
  <c r="R29" i="2"/>
  <c r="U29" i="2"/>
  <c r="Q29" i="2"/>
  <c r="T29" i="2"/>
  <c r="S29" i="2"/>
  <c r="F30" i="2"/>
  <c r="V30" i="2"/>
  <c r="R30" i="2"/>
  <c r="U30" i="2"/>
  <c r="Q30" i="2"/>
  <c r="T30" i="2"/>
  <c r="S30" i="2"/>
  <c r="D27" i="2"/>
  <c r="V27" i="2"/>
  <c r="R27" i="2"/>
  <c r="U27" i="2"/>
  <c r="Q27" i="2"/>
  <c r="T27" i="2"/>
  <c r="S27" i="2"/>
  <c r="K13" i="2"/>
  <c r="K9" i="2"/>
  <c r="K23" i="2"/>
  <c r="K25" i="2"/>
  <c r="K27" i="2"/>
  <c r="K29" i="2"/>
  <c r="K7" i="2"/>
  <c r="K12" i="2"/>
  <c r="K8" i="2"/>
  <c r="X8" i="2"/>
  <c r="X10" i="2"/>
  <c r="X12" i="2"/>
  <c r="X14" i="2"/>
  <c r="K15" i="2"/>
  <c r="K11" i="2"/>
  <c r="K22" i="2"/>
  <c r="K24" i="2"/>
  <c r="K26" i="2"/>
  <c r="K28" i="2"/>
  <c r="K30" i="2"/>
  <c r="K14" i="2"/>
  <c r="K10" i="2"/>
  <c r="X7" i="2"/>
  <c r="X9" i="2"/>
  <c r="X11" i="2"/>
  <c r="X13" i="2"/>
  <c r="X15" i="2"/>
  <c r="G29" i="2"/>
  <c r="G25" i="2"/>
  <c r="F29" i="2"/>
  <c r="F25" i="2"/>
  <c r="G27" i="2"/>
  <c r="G23" i="2"/>
  <c r="F27" i="2"/>
  <c r="F23" i="2"/>
  <c r="H22" i="2"/>
  <c r="E30" i="2"/>
  <c r="E28" i="2"/>
  <c r="I26" i="2"/>
  <c r="G22" i="2"/>
  <c r="H30" i="2"/>
  <c r="D30" i="2"/>
  <c r="H28" i="2"/>
  <c r="D28" i="2"/>
  <c r="H26" i="2"/>
  <c r="D26" i="2"/>
  <c r="H24" i="2"/>
  <c r="D24" i="2"/>
  <c r="D22" i="2"/>
  <c r="F22" i="2"/>
  <c r="G30" i="2"/>
  <c r="I29" i="2"/>
  <c r="E29" i="2"/>
  <c r="G28" i="2"/>
  <c r="I27" i="2"/>
  <c r="E27" i="2"/>
  <c r="G26" i="2"/>
  <c r="I25" i="2"/>
  <c r="E25" i="2"/>
  <c r="G24" i="2"/>
  <c r="I23" i="2"/>
  <c r="E23" i="2"/>
  <c r="I30" i="2"/>
  <c r="I28" i="2"/>
  <c r="E26" i="2"/>
  <c r="I24" i="2"/>
  <c r="E24" i="2"/>
  <c r="I22" i="2"/>
  <c r="H29" i="2"/>
  <c r="H27" i="2"/>
  <c r="H25" i="2"/>
  <c r="H23" i="2"/>
  <c r="G40" i="1" l="1"/>
  <c r="G42" i="1" l="1"/>
  <c r="E63" i="1" l="1"/>
  <c r="F63" i="1"/>
  <c r="E75" i="1"/>
  <c r="E69" i="1" s="1"/>
  <c r="H40" i="1"/>
  <c r="E76" i="1" l="1"/>
  <c r="H42" i="1"/>
  <c r="F76" i="1" l="1"/>
  <c r="F75" i="1"/>
  <c r="G46" i="1" l="1"/>
  <c r="E56" i="1"/>
  <c r="H46" i="1" l="1"/>
  <c r="H56" i="1" s="1"/>
  <c r="I8" i="2" s="1"/>
  <c r="G56" i="1"/>
  <c r="G14" i="2"/>
  <c r="G39" i="2"/>
  <c r="I11" i="2"/>
  <c r="F11" i="2"/>
  <c r="I10" i="2"/>
  <c r="I9" i="2"/>
  <c r="F9" i="2"/>
  <c r="H7" i="2"/>
  <c r="H10" i="2"/>
  <c r="F10" i="2"/>
  <c r="G13" i="2"/>
  <c r="F14" i="2"/>
  <c r="I15" i="2"/>
  <c r="G7" i="2"/>
  <c r="I13" i="2"/>
  <c r="F77" i="1"/>
  <c r="F78" i="1" s="1"/>
  <c r="H9" i="2" l="1"/>
  <c r="I14" i="2"/>
  <c r="E9" i="2"/>
  <c r="F13" i="2"/>
  <c r="D7" i="2"/>
  <c r="D15" i="2"/>
  <c r="H14" i="2"/>
  <c r="U14" i="2" s="1"/>
  <c r="G11" i="2"/>
  <c r="G20" i="8" s="1"/>
  <c r="T20" i="8" s="1"/>
  <c r="H39" i="2"/>
  <c r="D8" i="2"/>
  <c r="H15" i="2"/>
  <c r="H13" i="2"/>
  <c r="F12" i="2"/>
  <c r="E12" i="2"/>
  <c r="G15" i="2"/>
  <c r="E8" i="2"/>
  <c r="E17" i="8" s="1"/>
  <c r="R17" i="8" s="1"/>
  <c r="I12" i="2"/>
  <c r="G8" i="2"/>
  <c r="F8" i="2"/>
  <c r="L9" i="8"/>
  <c r="Y9" i="8" s="1"/>
  <c r="D14" i="2"/>
  <c r="G10" i="2"/>
  <c r="F39" i="2"/>
  <c r="S39" i="2" s="1"/>
  <c r="M39" i="2"/>
  <c r="M34" i="8" s="1"/>
  <c r="Z34" i="8" s="1"/>
  <c r="G12" i="2"/>
  <c r="E39" i="2"/>
  <c r="H11" i="2"/>
  <c r="I7" i="2"/>
  <c r="J39" i="2"/>
  <c r="E13" i="2"/>
  <c r="G9" i="2"/>
  <c r="G18" i="8" s="1"/>
  <c r="T18" i="8" s="1"/>
  <c r="E14" i="2"/>
  <c r="E23" i="8" s="1"/>
  <c r="R23" i="8" s="1"/>
  <c r="E7" i="2"/>
  <c r="F7" i="2"/>
  <c r="I52" i="1"/>
  <c r="I38" i="1"/>
  <c r="I29" i="1"/>
  <c r="I42" i="1"/>
  <c r="E65" i="1"/>
  <c r="F65" i="1" s="1"/>
  <c r="I37" i="1"/>
  <c r="I67" i="1" s="1"/>
  <c r="I41" i="1"/>
  <c r="I30" i="1"/>
  <c r="I35" i="1"/>
  <c r="I39" i="1"/>
  <c r="I53" i="1"/>
  <c r="I55" i="1"/>
  <c r="I27" i="1"/>
  <c r="I48" i="1"/>
  <c r="I49" i="1"/>
  <c r="I33" i="1"/>
  <c r="I54" i="1"/>
  <c r="I51" i="1"/>
  <c r="I32" i="1"/>
  <c r="I34" i="1"/>
  <c r="I47" i="1"/>
  <c r="I40" i="1"/>
  <c r="I36" i="1"/>
  <c r="I28" i="1"/>
  <c r="I46" i="1"/>
  <c r="I50" i="1"/>
  <c r="I56" i="1"/>
  <c r="I31" i="1"/>
  <c r="D10" i="2"/>
  <c r="E10" i="2"/>
  <c r="E19" i="8" s="1"/>
  <c r="R19" i="8" s="1"/>
  <c r="D13" i="2"/>
  <c r="K39" i="2"/>
  <c r="E15" i="2"/>
  <c r="D11" i="2"/>
  <c r="D9" i="2"/>
  <c r="L8" i="8"/>
  <c r="Y8" i="8" s="1"/>
  <c r="F15" i="2"/>
  <c r="F24" i="8" s="1"/>
  <c r="S24" i="8" s="1"/>
  <c r="E11" i="2"/>
  <c r="E20" i="8" s="1"/>
  <c r="R20" i="8" s="1"/>
  <c r="L39" i="2"/>
  <c r="I39" i="2"/>
  <c r="H12" i="2"/>
  <c r="H8" i="2"/>
  <c r="D12" i="2"/>
  <c r="I71" i="1"/>
  <c r="I73" i="1"/>
  <c r="E77" i="1"/>
  <c r="E70" i="1" s="1"/>
  <c r="G21" i="8"/>
  <c r="T21" i="8" s="1"/>
  <c r="T12" i="2"/>
  <c r="I34" i="8"/>
  <c r="V34" i="8" s="1"/>
  <c r="V39" i="2"/>
  <c r="E34" i="8"/>
  <c r="R34" i="8" s="1"/>
  <c r="R39" i="2"/>
  <c r="I17" i="8"/>
  <c r="V17" i="8" s="1"/>
  <c r="V8" i="2"/>
  <c r="F23" i="8"/>
  <c r="S23" i="8" s="1"/>
  <c r="S14" i="2"/>
  <c r="G24" i="8"/>
  <c r="T24" i="8" s="1"/>
  <c r="T15" i="2"/>
  <c r="I18" i="8"/>
  <c r="V18" i="8" s="1"/>
  <c r="V9" i="2"/>
  <c r="G17" i="8"/>
  <c r="T17" i="8" s="1"/>
  <c r="T8" i="2"/>
  <c r="L34" i="8"/>
  <c r="Y34" i="8" s="1"/>
  <c r="Y39" i="2"/>
  <c r="D17" i="8"/>
  <c r="Q17" i="8" s="1"/>
  <c r="Q8" i="2"/>
  <c r="H17" i="8"/>
  <c r="U17" i="8" s="1"/>
  <c r="U8" i="2"/>
  <c r="H22" i="8"/>
  <c r="U22" i="8" s="1"/>
  <c r="U13" i="2"/>
  <c r="F21" i="8"/>
  <c r="S21" i="8" s="1"/>
  <c r="S12" i="2"/>
  <c r="F19" i="8"/>
  <c r="S19" i="8" s="1"/>
  <c r="S10" i="2"/>
  <c r="I21" i="8"/>
  <c r="V21" i="8" s="1"/>
  <c r="V12" i="2"/>
  <c r="F20" i="8"/>
  <c r="S20" i="8" s="1"/>
  <c r="S11" i="2"/>
  <c r="G34" i="8"/>
  <c r="T34" i="8" s="1"/>
  <c r="T39" i="2"/>
  <c r="F17" i="8"/>
  <c r="S17" i="8" s="1"/>
  <c r="S8" i="2"/>
  <c r="G23" i="8"/>
  <c r="T23" i="8" s="1"/>
  <c r="T14" i="2"/>
  <c r="G16" i="8"/>
  <c r="T16" i="8" s="1"/>
  <c r="T7" i="2"/>
  <c r="H20" i="8"/>
  <c r="U20" i="8" s="1"/>
  <c r="U11" i="2"/>
  <c r="G22" i="8"/>
  <c r="T22" i="8" s="1"/>
  <c r="T13" i="2"/>
  <c r="I16" i="8"/>
  <c r="V16" i="8" s="1"/>
  <c r="V7" i="2"/>
  <c r="H19" i="8"/>
  <c r="U19" i="8" s="1"/>
  <c r="U10" i="2"/>
  <c r="J34" i="8"/>
  <c r="W34" i="8" s="1"/>
  <c r="W39" i="2"/>
  <c r="F18" i="8"/>
  <c r="S18" i="8" s="1"/>
  <c r="S9" i="2"/>
  <c r="E22" i="8"/>
  <c r="R22" i="8" s="1"/>
  <c r="R13" i="2"/>
  <c r="I19" i="8"/>
  <c r="V19" i="8" s="1"/>
  <c r="V10" i="2"/>
  <c r="I20" i="8"/>
  <c r="V20" i="8" s="1"/>
  <c r="V11" i="2"/>
  <c r="H18" i="8"/>
  <c r="U18" i="8" s="1"/>
  <c r="U9" i="2"/>
  <c r="E16" i="8"/>
  <c r="R16" i="8" s="1"/>
  <c r="R7" i="2"/>
  <c r="I23" i="8"/>
  <c r="V23" i="8" s="1"/>
  <c r="V14" i="2"/>
  <c r="F16" i="8"/>
  <c r="S16" i="8" s="1"/>
  <c r="S7" i="2"/>
  <c r="T11" i="2"/>
  <c r="H34" i="8"/>
  <c r="U34" i="8" s="1"/>
  <c r="U39" i="2"/>
  <c r="H21" i="8"/>
  <c r="U21" i="8" s="1"/>
  <c r="U12" i="2"/>
  <c r="H24" i="8"/>
  <c r="U24" i="8" s="1"/>
  <c r="U15" i="2"/>
  <c r="D21" i="8"/>
  <c r="Q21" i="8" s="1"/>
  <c r="Q12" i="2"/>
  <c r="I22" i="8"/>
  <c r="V22" i="8" s="1"/>
  <c r="V13" i="2"/>
  <c r="E21" i="8"/>
  <c r="R21" i="8" s="1"/>
  <c r="R12" i="2"/>
  <c r="H16" i="8"/>
  <c r="U16" i="8" s="1"/>
  <c r="U7" i="2"/>
  <c r="E18" i="8"/>
  <c r="R18" i="8" s="1"/>
  <c r="R9" i="2"/>
  <c r="I24" i="8"/>
  <c r="V24" i="8" s="1"/>
  <c r="V15" i="2"/>
  <c r="F22" i="8"/>
  <c r="S22" i="8" s="1"/>
  <c r="S13" i="2"/>
  <c r="D19" i="8"/>
  <c r="Q19" i="8" s="1"/>
  <c r="Q10" i="2"/>
  <c r="D23" i="8"/>
  <c r="Q23" i="8" s="1"/>
  <c r="Q14" i="2"/>
  <c r="D16" i="8"/>
  <c r="Q16" i="8" s="1"/>
  <c r="Q7" i="2"/>
  <c r="D22" i="8"/>
  <c r="Q22" i="8" s="1"/>
  <c r="Q13" i="2"/>
  <c r="G19" i="8"/>
  <c r="T19" i="8" s="1"/>
  <c r="T10" i="2"/>
  <c r="K34" i="8"/>
  <c r="X34" i="8" s="1"/>
  <c r="X39" i="2"/>
  <c r="D24" i="8"/>
  <c r="Q24" i="8" s="1"/>
  <c r="Q15" i="2"/>
  <c r="E24" i="8"/>
  <c r="R24" i="8" s="1"/>
  <c r="R15" i="2"/>
  <c r="H23" i="8"/>
  <c r="U23" i="8" s="1"/>
  <c r="D20" i="8"/>
  <c r="Q20" i="8" s="1"/>
  <c r="Q11" i="2"/>
  <c r="D18" i="8"/>
  <c r="Q18" i="8" s="1"/>
  <c r="Q9" i="2"/>
  <c r="I61" i="1" l="1"/>
  <c r="F34" i="8"/>
  <c r="S34" i="8" s="1"/>
  <c r="R14" i="2"/>
  <c r="Z39" i="2"/>
  <c r="R10" i="2"/>
  <c r="R8" i="2"/>
  <c r="S15" i="2"/>
  <c r="R11" i="2"/>
  <c r="T9" i="2"/>
  <c r="I65" i="1"/>
  <c r="I63" i="1"/>
  <c r="I69" i="1"/>
  <c r="E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Jordan Deshon</author>
    <author>Mike Staub</author>
  </authors>
  <commentList>
    <comment ref="B36" authorId="0" shapeId="0" xr:uid="{577B25EC-7628-4500-A698-FBC96B383D98}">
      <text>
        <t>Les visites communautaires concernent les coûts liés au voyages du responsable du projet (par exemple, une ONG internationale) ou d'une entreprise de maintenance sous contrat dans la communauté pour des visites de suivi après la mise en œuvre du projet. Ces coûts couvrent les frais de main-d'œuvre et de déplacement en véhicule pour les visites de suivi (en fonction de la distance entre le bureau du programme pays et la communauté). Les données influençant les coûts des visites de suivi peuvent être saisies ci-dessous.</t>
      </text>
    </comment>
    <comment ref="B41" authorId="1" shapeId="0" xr:uid="{828CABD5-637D-494F-8FE4-D975C5FBCDA3}">
      <text>
        <t xml:space="preserve">Les revenus peuvent être générés de plusieurs manières :
• Ventes de récipients ET frais mensuels aux écoles
• Frais mensuels aux particuliers ET frais mensuels aux entreprises
• Ventes de récipients ET sacs d'eau ET/OU glace ET/OU boissons aromatisées
• Frais mensuels aux particuliers ET ventes de récipients en vrac aux livreurs
• Frais mensuels aux particuliers ET frais mensuels aux éleveurs
• Ventes de récipients ET recharge de téléphones portables
• ET bien d'autres encore !
Si cela décrit la stratégie de revenus de cette communauté, estimez la principale méthode de génération de revenus sur la feuille de calcul du résumé financier (généralement la vente de conteneurs ou les frais mensuels).
Indiquez ici le montant des revenus attendus de ces autres sources. Cela permettra de réduire les prix requis pour couvrir les coûts sur la feuille de calcul de la viabilité financière.
Notez également la quantité d'eau utilisée chaque mois par la source de revenus alternative. Cela actualisera le volume de production journalière sur la feuille de calcul du résumé financier.
</t>
      </text>
    </comment>
    <comment ref="D51" authorId="0" shapeId="0" xr:uid="{BE15B2AD-AAE6-4501-973F-0502CCA723D1}">
      <text>
        <r>
          <rPr>
            <b/>
            <sz val="9"/>
            <color indexed="81"/>
            <rFont val="Tahoma"/>
            <family val="2"/>
          </rPr>
          <t>Distribution Vehicle Cost</t>
        </r>
        <r>
          <rPr>
            <sz val="9"/>
            <color indexed="81"/>
            <rFont val="Tahoma"/>
            <family val="2"/>
          </rPr>
          <t xml:space="preserve"> are those costs associated with utilizing a vehicle to distribute water to households.</t>
        </r>
      </text>
    </comment>
  </commentList>
</comments>
</file>

<file path=xl/sharedStrings.xml><?xml version="1.0" encoding="utf-8"?>
<sst xmlns="http://schemas.openxmlformats.org/spreadsheetml/2006/main" count="386" uniqueCount="217">
  <si>
    <t>Fiche technique sur la pérennité financière</t>
  </si>
  <si>
    <t>Informations d’ordre général</t>
  </si>
  <si>
    <t>Unité</t>
  </si>
  <si>
    <t>Valeur</t>
  </si>
  <si>
    <t>Nombre estimé de foyers dans la zone de service</t>
  </si>
  <si>
    <t>Nb de foyers</t>
  </si>
  <si>
    <t>Taille moyenne estimée des foyers (enfants compris)</t>
  </si>
  <si>
    <t>Nb de personnes</t>
  </si>
  <si>
    <t>Population estimée ayant accès à l'eau potable</t>
  </si>
  <si>
    <t xml:space="preserve">Nombre quotidien estimé d’utilisateurs d’eau provenant de l'extérieur de la communauté </t>
  </si>
  <si>
    <r>
      <rPr>
        <sz val="11"/>
        <color rgb="FF000000"/>
        <rFont val="Roboto Light"/>
      </rPr>
      <t xml:space="preserve">Sources de revenus supplémentaires (institutions, par exemple) </t>
    </r>
    <r>
      <rPr>
        <i/>
        <sz val="9"/>
        <color rgb="FF000000"/>
        <rFont val="Roboto Light"/>
      </rPr>
      <t>sélection dans le menu déroulant </t>
    </r>
    <r>
      <rPr>
        <sz val="9"/>
        <color rgb="FF000000"/>
        <rFont val="Roboto Light"/>
      </rPr>
      <t>:</t>
    </r>
  </si>
  <si>
    <t>Oui/Non</t>
  </si>
  <si>
    <t>Devise locale</t>
  </si>
  <si>
    <t>-</t>
  </si>
  <si>
    <t>UGX</t>
  </si>
  <si>
    <t>Devise étrangère</t>
  </si>
  <si>
    <t>USD</t>
  </si>
  <si>
    <t>Revenu mensuel moyen des foyers</t>
  </si>
  <si>
    <t>Dépenses maximales de consommation d'eau potable des foyers</t>
  </si>
  <si>
    <t xml:space="preserve">% </t>
  </si>
  <si>
    <t>Taux de change</t>
  </si>
  <si>
    <t>Taille du récipient moyen</t>
  </si>
  <si>
    <t>L</t>
  </si>
  <si>
    <t>Commission du comité de gestion</t>
  </si>
  <si>
    <t>% du total des ventes</t>
  </si>
  <si>
    <t>Commission de l'exploitant du système</t>
  </si>
  <si>
    <t>Commission de l'opérateur de point d'eau</t>
  </si>
  <si>
    <t>Cibles</t>
  </si>
  <si>
    <t>Couverture du service prévue</t>
  </si>
  <si>
    <t>% de la zone de service</t>
  </si>
  <si>
    <t>foyers</t>
  </si>
  <si>
    <t xml:space="preserve">Quantité d'eau potable prévue par individu </t>
  </si>
  <si>
    <t>L/personne/jour</t>
  </si>
  <si>
    <t>récipients/foyer/jour</t>
  </si>
  <si>
    <t>Taux de recouvrement des redevances prévu</t>
  </si>
  <si>
    <t>% du total des recettes</t>
  </si>
  <si>
    <t>Production journalière prévue</t>
  </si>
  <si>
    <t>L/jour</t>
  </si>
  <si>
    <t>récipients/jour</t>
  </si>
  <si>
    <t>Coûts unitaires</t>
  </si>
  <si>
    <t>Coûts par mois</t>
  </si>
  <si>
    <t>% du total des dépenses</t>
  </si>
  <si>
    <t>Coûts de fonctionnement (OpEx)</t>
  </si>
  <si>
    <t>Applicable ?</t>
  </si>
  <si>
    <t>Variables</t>
  </si>
  <si>
    <t>Chlore (voir onglet Calculs supplémentaires)</t>
  </si>
  <si>
    <r>
      <t>/m</t>
    </r>
    <r>
      <rPr>
        <vertAlign val="superscript"/>
        <sz val="11"/>
        <color theme="1"/>
        <rFont val="Roboto Light"/>
      </rPr>
      <t>3</t>
    </r>
    <r>
      <rPr>
        <sz val="11"/>
        <color theme="1"/>
        <rFont val="Roboto Light"/>
      </rPr>
      <t xml:space="preserve"> d’eau</t>
    </r>
  </si>
  <si>
    <t>Carburant (pour les générateurs et/ou les véhicules de livraison)</t>
  </si>
  <si>
    <t>Électricité (pour la production d'eau)</t>
  </si>
  <si>
    <t>Total des commissions</t>
  </si>
  <si>
    <t xml:space="preserve">Fixes </t>
  </si>
  <si>
    <t>Salaires fixes (sans commission)</t>
  </si>
  <si>
    <t>/mois</t>
  </si>
  <si>
    <t>Loyer (cas échéant)</t>
  </si>
  <si>
    <t>Fournitures pour l’analyse de la qualité de l’eau</t>
  </si>
  <si>
    <t>Forfait communication (crédit téléphone)</t>
  </si>
  <si>
    <t>Frais bancaires</t>
  </si>
  <si>
    <t>Transport</t>
  </si>
  <si>
    <t>Entretien et maintenance de routine</t>
  </si>
  <si>
    <t>Visites d’assistance (voir onglet Calculs supplémentaires)</t>
  </si>
  <si>
    <t>Autres dépenses</t>
  </si>
  <si>
    <t>Total des coûts variables :</t>
  </si>
  <si>
    <t>Total des coûts fixes :</t>
  </si>
  <si>
    <t>Coûts de fonctionnement prévus (variables + fixes)</t>
  </si>
  <si>
    <t>Durée de vie 
[années]</t>
  </si>
  <si>
    <t>Dépenses en immobilisations</t>
  </si>
  <si>
    <t>Coûts de remplacement</t>
  </si>
  <si>
    <t>Ressource en eau (forage, puisard, prise d'eau, etc.)</t>
  </si>
  <si>
    <t>Structures (enceintes, plates-formes, etc.)</t>
  </si>
  <si>
    <t>Électricité (câbles, interrupteurs, commandes, etc.)</t>
  </si>
  <si>
    <t>Alimentation électrique (panneaux solaires, générateurs, etc.)</t>
  </si>
  <si>
    <t>Pompe</t>
  </si>
  <si>
    <t>Réservoirs de stockage</t>
  </si>
  <si>
    <t>Points d’eau (béton, compteurs, vannes, etc.)</t>
  </si>
  <si>
    <t>Équipements de traitement de l’eau</t>
  </si>
  <si>
    <t xml:space="preserve">Tuyauterie </t>
  </si>
  <si>
    <t>Autre</t>
  </si>
  <si>
    <t>Coûts de remplacement prévus :</t>
  </si>
  <si>
    <t>Résumé financier</t>
  </si>
  <si>
    <t>Type de dépense</t>
  </si>
  <si>
    <t>% des dépenses</t>
  </si>
  <si>
    <t>Méthode de collecte de la redevance (sélection dans le menu déroulant)</t>
  </si>
  <si>
    <t>Sélection dans le menu déroulant</t>
  </si>
  <si>
    <t xml:space="preserve">Prix maximum recommandé </t>
  </si>
  <si>
    <t>Produits chimiques + analyses</t>
  </si>
  <si>
    <t>Option 1 de redevance pour l'eau (coûts de fonctionnement UNIQUEMENT)</t>
  </si>
  <si>
    <t>Commissions et salaires</t>
  </si>
  <si>
    <t>Option 2 de redevance pour l’eau (coûts de fonctionnement + coûts de remplacement)</t>
  </si>
  <si>
    <t>Coûts de l'énergie</t>
  </si>
  <si>
    <t>Redevance prévue pour l'eau</t>
  </si>
  <si>
    <t>Entretien</t>
  </si>
  <si>
    <t>Couverture prévue des coûts de fonctionnement</t>
  </si>
  <si>
    <t>%</t>
  </si>
  <si>
    <t>Autres OpEx</t>
  </si>
  <si>
    <t>Couverture prévue des coûts de remplacement</t>
  </si>
  <si>
    <t>Dépenses de consommation prévues</t>
  </si>
  <si>
    <t>Visites d’assistance</t>
  </si>
  <si>
    <t>Total des recettes prévu</t>
  </si>
  <si>
    <t>Coûts de fonctionnement prévus (OpEx)</t>
  </si>
  <si>
    <t>Économies prévues</t>
  </si>
  <si>
    <t>Coûts de remplacement prévus</t>
  </si>
  <si>
    <t>Total des coûts prévu</t>
  </si>
  <si>
    <t>Calculs supplémentaires</t>
  </si>
  <si>
    <t>Devise locale :</t>
  </si>
  <si>
    <t>Devise étrangère :</t>
  </si>
  <si>
    <t>Chlore :</t>
  </si>
  <si>
    <t>Informations sur les récipients et les prix</t>
  </si>
  <si>
    <t>Consommation de produits chimiques</t>
  </si>
  <si>
    <t>Coût unitaire</t>
  </si>
  <si>
    <t>poids (kg)</t>
  </si>
  <si>
    <t>% Cl</t>
  </si>
  <si>
    <t>mg/L</t>
  </si>
  <si>
    <r>
      <t>kg/m</t>
    </r>
    <r>
      <rPr>
        <vertAlign val="superscript"/>
        <sz val="11"/>
        <color theme="1"/>
        <rFont val="Roboto Light"/>
      </rPr>
      <t>3</t>
    </r>
  </si>
  <si>
    <t>Générateur diesel (pour la production d'eau) :</t>
  </si>
  <si>
    <t>Taille du générateur</t>
  </si>
  <si>
    <t>Coût du carburant</t>
  </si>
  <si>
    <t>Consommation de carburant</t>
  </si>
  <si>
    <t>kW</t>
  </si>
  <si>
    <t>heures de fonctionnement/jour</t>
  </si>
  <si>
    <t>L/KWh</t>
  </si>
  <si>
    <t>Électricité du réseau (pour la production d'eau) :</t>
  </si>
  <si>
    <t>Taille du moteur de pompe</t>
  </si>
  <si>
    <t>Coût de l'électricité</t>
  </si>
  <si>
    <t>Consommation électrique</t>
  </si>
  <si>
    <t>Production d'eau</t>
  </si>
  <si>
    <t>Visites d’assistance (pour l’entretien du système, etc.)</t>
  </si>
  <si>
    <t>Nombre prévu de visites d’assistance par an</t>
  </si>
  <si>
    <t>Nombre de jours de travail requis par visite d’assistance (déplacements compris)</t>
  </si>
  <si>
    <t>Sources de revenus supplémentaires (institutions, par exemple) :</t>
  </si>
  <si>
    <t>Recettes mensuelles attendues</t>
  </si>
  <si>
    <t>Volume d'eau mensuel estimé (litres)</t>
  </si>
  <si>
    <t>Méthode de perception des recettes</t>
  </si>
  <si>
    <t>Principale source de revenus :</t>
  </si>
  <si>
    <t>Calculé sur la fiche technique sur la pérennité financière</t>
  </si>
  <si>
    <t>Source de revenus secondaire :</t>
  </si>
  <si>
    <t>École</t>
  </si>
  <si>
    <t>Source de revenus supplémentaire :</t>
  </si>
  <si>
    <t>Estimation du coût des véhicules de distribution :</t>
  </si>
  <si>
    <t>Rendement énergétique</t>
  </si>
  <si>
    <t>Distance</t>
  </si>
  <si>
    <t>Coût/mois</t>
  </si>
  <si>
    <t>% de récipients livrés</t>
  </si>
  <si>
    <r>
      <t>Coût/m</t>
    </r>
    <r>
      <rPr>
        <vertAlign val="superscript"/>
        <sz val="11"/>
        <rFont val="Roboto Light"/>
      </rPr>
      <t>3</t>
    </r>
  </si>
  <si>
    <t>Coût/récipient</t>
  </si>
  <si>
    <t>km/L</t>
  </si>
  <si>
    <t>km/mois</t>
  </si>
  <si>
    <t>Durée de vie</t>
  </si>
  <si>
    <t>Prix d'achat</t>
  </si>
  <si>
    <t>Assurance + taxes</t>
  </si>
  <si>
    <t>années</t>
  </si>
  <si>
    <t xml:space="preserve">Nom du système : </t>
  </si>
  <si>
    <t>Nom de la ou des personnes chargées de la gestion :</t>
  </si>
  <si>
    <t>Date :</t>
  </si>
  <si>
    <r>
      <t>Équipements</t>
    </r>
    <r>
      <rPr>
        <sz val="12"/>
        <rFont val="Roboto Light"/>
      </rPr>
      <t> </t>
    </r>
  </si>
  <si>
    <r>
      <t>Durée de vie type
(années)</t>
    </r>
    <r>
      <rPr>
        <sz val="12"/>
        <color rgb="FF000000"/>
        <rFont val="Roboto Light"/>
      </rPr>
      <t> </t>
    </r>
  </si>
  <si>
    <r>
      <t xml:space="preserve">Coût approximatif
(Code devise) </t>
    </r>
    <r>
      <rPr>
        <sz val="12"/>
        <color rgb="FF000000"/>
        <rFont val="Roboto Light"/>
      </rPr>
      <t> </t>
    </r>
  </si>
  <si>
    <t>Pompe </t>
  </si>
  <si>
    <t>3-7 </t>
  </si>
  <si>
    <t> </t>
  </si>
  <si>
    <r>
      <t xml:space="preserve">Points d’eau </t>
    </r>
    <r>
      <rPr>
        <sz val="9"/>
        <color rgb="FF000000"/>
        <rFont val="Roboto Light"/>
      </rPr>
      <t>(les petites pièces exigent un remplacement plus fréquent)</t>
    </r>
    <r>
      <rPr>
        <sz val="12"/>
        <color rgb="FF000000"/>
        <rFont val="Roboto Light"/>
      </rPr>
      <t> </t>
    </r>
  </si>
  <si>
    <t>Traitement de l'eau </t>
  </si>
  <si>
    <t>5-15 </t>
  </si>
  <si>
    <t>Générateur </t>
  </si>
  <si>
    <t>10-20 </t>
  </si>
  <si>
    <t>Electrique </t>
  </si>
  <si>
    <t>Panneaux solaires </t>
  </si>
  <si>
    <t>20-30 </t>
  </si>
  <si>
    <t>Réservoirs d'eau </t>
  </si>
  <si>
    <t>15-30 </t>
  </si>
  <si>
    <t>Ressource en eau</t>
  </si>
  <si>
    <t>30-40 </t>
  </si>
  <si>
    <t>Structures </t>
  </si>
  <si>
    <t>20-60 </t>
  </si>
  <si>
    <t>Structure de support solaire </t>
  </si>
  <si>
    <t>Tuyauterie </t>
  </si>
  <si>
    <t>60+ </t>
  </si>
  <si>
    <t>Recommended Max Price per Container [</t>
  </si>
  <si>
    <t>]:</t>
  </si>
  <si>
    <t>Breakeven Price per Container [</t>
  </si>
  <si>
    <t>]</t>
  </si>
  <si>
    <t>Container Size:</t>
  </si>
  <si>
    <t>Household Penetration [%]</t>
  </si>
  <si>
    <t>Average Household Consumption [containers/day]</t>
  </si>
  <si>
    <t>Water Users</t>
  </si>
  <si>
    <t>[HH]</t>
  </si>
  <si>
    <t>[no.]</t>
  </si>
  <si>
    <t>Average Household Consumption [L/day]</t>
  </si>
  <si>
    <t>Production Requirements [L/day]</t>
  </si>
  <si>
    <t>Beneficiaries</t>
  </si>
  <si>
    <t>Recommended Max Monthly Fee [</t>
  </si>
  <si>
    <t>Breakeven Monthly Fee*</t>
  </si>
  <si>
    <t>Household Penetration:</t>
  </si>
  <si>
    <t>Water Users:</t>
  </si>
  <si>
    <t>HH</t>
  </si>
  <si>
    <t>Breakeven Fee:</t>
  </si>
  <si>
    <t>*Assumes target individual consumption from Financial Summary Worksheet when calculating variable costs</t>
  </si>
  <si>
    <t>Recommended Max Water Price</t>
  </si>
  <si>
    <t>Net Calculator</t>
  </si>
  <si>
    <t>Unit</t>
  </si>
  <si>
    <t>Input/Result</t>
  </si>
  <si>
    <t>/container</t>
  </si>
  <si>
    <t>HH Penetration</t>
  </si>
  <si>
    <t>/HH/month</t>
  </si>
  <si>
    <t>Avg. HH Consumption</t>
  </si>
  <si>
    <t>containers/day</t>
  </si>
  <si>
    <t>Target Water Price</t>
  </si>
  <si>
    <t>L/day</t>
  </si>
  <si>
    <t>Pay per Container - Total Net*</t>
  </si>
  <si>
    <t>USD/month</t>
  </si>
  <si>
    <t>/month</t>
  </si>
  <si>
    <t>Pay per Month - Total Net**</t>
  </si>
  <si>
    <t>Pay per Container  -  Total Net* [</t>
  </si>
  <si>
    <t>/month]</t>
  </si>
  <si>
    <t>*Revenue in excess of all operational costs and savings requirements</t>
  </si>
  <si>
    <t>Pay per Month  -  Total Net**</t>
  </si>
  <si>
    <t>Total Net:</t>
  </si>
  <si>
    <t>**Revenue in excess of all operational costs and savings requirements, assumes target individual consumption from Financial Summary Worksheet when calculating variable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</si>
</sst>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
    <numFmt numFmtId="167" formatCode="#,##0.0"/>
    <numFmt numFmtId="168" formatCode="#,##0.000"/>
  </numFmts>
  <fonts count="29">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b/>
      <sz val="11"/>
      <color theme="1"/>
      <name val="Calibri"/>
      <family val="2"/>
      <scheme val="minor"/>
    </font>
    <font>
      <sz val="12"/>
      <name val="Times New Roman"/>
      <family val="1"/>
    </font>
    <font>
      <sz val="12"/>
      <color theme="1"/>
      <name val="Comic Sans MS"/>
      <family val="2"/>
    </font>
    <font>
      <u/>
      <sz val="11"/>
      <color theme="10"/>
      <name val="Calibri"/>
      <family val="2"/>
      <scheme val="minor"/>
    </font>
    <font>
      <sz val="9"/>
      <color indexed="81"/>
      <name val="Tahoma"/>
      <family val="2"/>
    </font>
    <font>
      <b/>
      <sz val="9"/>
      <color indexed="81"/>
      <name val="Tahoma"/>
      <family val="2"/>
    </font>
    <font>
      <sz val="11"/>
      <color theme="1"/>
      <name val="Roboto Light"/>
    </font>
    <font>
      <sz val="8"/>
      <color theme="1"/>
      <name val="Roboto Light"/>
    </font>
    <font>
      <b/>
      <sz val="11"/>
      <color theme="1"/>
      <name val="Roboto Light"/>
    </font>
    <font>
      <vertAlign val="superscript"/>
      <sz val="11"/>
      <color theme="1"/>
      <name val="Roboto Light"/>
    </font>
    <font>
      <b/>
      <sz val="11"/>
      <name val="Roboto Light"/>
    </font>
    <font>
      <sz val="10"/>
      <name val="Roboto Light"/>
    </font>
    <font>
      <sz val="11"/>
      <name val="Roboto Light"/>
    </font>
    <font>
      <i/>
      <sz val="11"/>
      <name val="Roboto Light"/>
    </font>
    <font>
      <sz val="11"/>
      <color theme="0"/>
      <name val="Roboto Light"/>
    </font>
    <font>
      <vertAlign val="superscript"/>
      <sz val="11"/>
      <name val="Roboto Light"/>
    </font>
    <font>
      <sz val="12"/>
      <name val="Roboto Light"/>
    </font>
    <font>
      <sz val="12"/>
      <color rgb="FF000000"/>
      <name val="Roboto Light"/>
    </font>
    <font>
      <sz val="9"/>
      <color rgb="FF000000"/>
      <name val="Roboto Light"/>
    </font>
    <font>
      <b/>
      <sz val="20"/>
      <color rgb="FF005BA8"/>
      <name val="Roboto Light"/>
    </font>
    <font>
      <b/>
      <sz val="11"/>
      <color theme="0"/>
      <name val="Aptos Narrow"/>
      <family val="2"/>
      <scheme val="minor"/>
    </font>
    <font>
      <b/>
      <sz val="11"/>
      <color theme="1"/>
      <name val="Aptos Narrow"/>
      <family val="2"/>
      <scheme val="minor"/>
    </font>
    <font>
      <b/>
      <sz val="26"/>
      <color rgb="FF005BA8"/>
      <name val="Roboto Light"/>
    </font>
    <font>
      <sz val="11"/>
      <color rgb="FF000000"/>
      <name val="Roboto Light"/>
    </font>
    <font>
      <i/>
      <sz val="9"/>
      <color rgb="FF000000"/>
      <name val="Roboto Light"/>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3" tint="0.79998168889431442"/>
        <bgColor indexed="64"/>
      </patternFill>
    </fill>
    <fill>
      <patternFill patternType="solid">
        <fgColor rgb="FF005BA8"/>
        <bgColor indexed="64"/>
      </patternFill>
    </fill>
    <fill>
      <patternFill patternType="solid">
        <fgColor rgb="FFA1D8CB"/>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theme="1"/>
      </left>
      <right style="thin">
        <color theme="1"/>
      </right>
      <top style="thin">
        <color theme="1"/>
      </top>
      <bottom style="thin">
        <color theme="1"/>
      </bottom>
      <diagonal/>
    </border>
    <border>
      <left/>
      <right style="thin">
        <color rgb="FF000000"/>
      </right>
      <top style="thin">
        <color rgb="FF000000"/>
      </top>
      <bottom/>
      <diagonal/>
    </border>
    <border>
      <left style="thin">
        <color theme="1"/>
      </left>
      <right style="thin">
        <color rgb="FF000000"/>
      </right>
      <top/>
      <bottom style="thin">
        <color theme="0"/>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5" fillId="0" borderId="0"/>
    <xf numFmtId="0" fontId="6" fillId="0" borderId="0"/>
    <xf numFmtId="0" fontId="7" fillId="0" borderId="0" applyNumberFormat="0" applyFill="0" applyBorder="0" applyAlignment="0" applyProtection="0"/>
  </cellStyleXfs>
  <cellXfs count="411">
    <xf numFmtId="0" fontId="0" fillId="0" borderId="0" xfId="0"/>
    <xf numFmtId="0" fontId="1" fillId="0" borderId="0" xfId="0" applyFont="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0" xfId="0" applyFont="1" applyFill="1" applyAlignment="1">
      <alignment horizontal="center"/>
    </xf>
    <xf numFmtId="0" fontId="1" fillId="2" borderId="23" xfId="0" applyFont="1" applyFill="1" applyBorder="1" applyAlignment="1">
      <alignment horizontal="center"/>
    </xf>
    <xf numFmtId="0" fontId="1" fillId="2" borderId="22" xfId="0" applyFont="1" applyFill="1" applyBorder="1" applyAlignment="1">
      <alignment horizontal="left"/>
    </xf>
    <xf numFmtId="0" fontId="1" fillId="2" borderId="18" xfId="0" applyFont="1" applyFill="1" applyBorder="1" applyAlignment="1">
      <alignment horizontal="center"/>
    </xf>
    <xf numFmtId="0" fontId="1" fillId="2" borderId="17" xfId="0" applyFont="1" applyFill="1" applyBorder="1" applyAlignment="1">
      <alignment horizontal="center"/>
    </xf>
    <xf numFmtId="0" fontId="1" fillId="2" borderId="24" xfId="0" applyFont="1" applyFill="1" applyBorder="1" applyAlignment="1">
      <alignment horizontal="center"/>
    </xf>
    <xf numFmtId="165" fontId="1" fillId="2" borderId="0" xfId="0" applyNumberFormat="1" applyFont="1" applyFill="1" applyAlignment="1">
      <alignment horizontal="center"/>
    </xf>
    <xf numFmtId="1" fontId="2" fillId="2" borderId="0" xfId="0" applyNumberFormat="1" applyFont="1" applyFill="1" applyAlignment="1">
      <alignment horizontal="center"/>
    </xf>
    <xf numFmtId="2" fontId="1" fillId="2" borderId="0" xfId="0" applyNumberFormat="1" applyFont="1" applyFill="1" applyAlignment="1">
      <alignment horizontal="center"/>
    </xf>
    <xf numFmtId="0" fontId="2" fillId="2" borderId="23" xfId="0" applyFont="1" applyFill="1" applyBorder="1" applyAlignment="1">
      <alignment horizontal="center"/>
    </xf>
    <xf numFmtId="2" fontId="1" fillId="2" borderId="23" xfId="0" applyNumberFormat="1" applyFont="1" applyFill="1" applyBorder="1" applyAlignment="1">
      <alignment horizontal="center"/>
    </xf>
    <xf numFmtId="0" fontId="2" fillId="2" borderId="6" xfId="0" applyFont="1" applyFill="1" applyBorder="1" applyAlignment="1">
      <alignment horizontal="center"/>
    </xf>
    <xf numFmtId="0" fontId="2" fillId="2" borderId="9" xfId="0" applyFont="1" applyFill="1" applyBorder="1" applyAlignment="1">
      <alignment horizontal="center"/>
    </xf>
    <xf numFmtId="0" fontId="2" fillId="2" borderId="3" xfId="0" applyFont="1" applyFill="1" applyBorder="1" applyAlignment="1">
      <alignment horizontal="center"/>
    </xf>
    <xf numFmtId="1" fontId="2" fillId="3" borderId="0" xfId="0" applyNumberFormat="1" applyFont="1" applyFill="1" applyAlignment="1">
      <alignment horizontal="center"/>
    </xf>
    <xf numFmtId="0" fontId="1" fillId="2" borderId="13" xfId="0" applyFont="1" applyFill="1" applyBorder="1" applyAlignment="1">
      <alignment horizontal="center"/>
    </xf>
    <xf numFmtId="0" fontId="1" fillId="2" borderId="15" xfId="0" applyFont="1" applyFill="1" applyBorder="1" applyAlignment="1">
      <alignment horizontal="center"/>
    </xf>
    <xf numFmtId="0" fontId="1" fillId="3" borderId="13" xfId="0" applyFont="1" applyFill="1" applyBorder="1" applyAlignment="1">
      <alignment horizontal="center"/>
    </xf>
    <xf numFmtId="0" fontId="1" fillId="3" borderId="0" xfId="0" applyFont="1" applyFill="1" applyAlignment="1">
      <alignment horizontal="center"/>
    </xf>
    <xf numFmtId="0" fontId="1" fillId="3" borderId="15" xfId="0" applyFont="1" applyFill="1" applyBorder="1" applyAlignment="1">
      <alignment horizontal="center"/>
    </xf>
    <xf numFmtId="1" fontId="2" fillId="2" borderId="9" xfId="0" applyNumberFormat="1" applyFont="1" applyFill="1" applyBorder="1" applyAlignment="1">
      <alignment horizontal="center"/>
    </xf>
    <xf numFmtId="1" fontId="2" fillId="2" borderId="28" xfId="0" applyNumberFormat="1" applyFont="1" applyFill="1" applyBorder="1" applyAlignment="1">
      <alignment horizontal="center"/>
    </xf>
    <xf numFmtId="1" fontId="2" fillId="2" borderId="6" xfId="0" applyNumberFormat="1" applyFont="1" applyFill="1" applyBorder="1" applyAlignment="1">
      <alignment horizontal="center"/>
    </xf>
    <xf numFmtId="2" fontId="1" fillId="2" borderId="13" xfId="0" applyNumberFormat="1" applyFont="1" applyFill="1" applyBorder="1" applyAlignment="1">
      <alignment horizontal="center"/>
    </xf>
    <xf numFmtId="164" fontId="1" fillId="3" borderId="0" xfId="0" applyNumberFormat="1" applyFont="1" applyFill="1" applyAlignment="1">
      <alignment horizontal="center"/>
    </xf>
    <xf numFmtId="164" fontId="1" fillId="2" borderId="0" xfId="0" applyNumberFormat="1" applyFont="1" applyFill="1" applyAlignment="1">
      <alignment horizontal="center"/>
    </xf>
    <xf numFmtId="1" fontId="1" fillId="2" borderId="0" xfId="0" applyNumberFormat="1" applyFont="1" applyFill="1" applyAlignment="1">
      <alignment horizontal="center"/>
    </xf>
    <xf numFmtId="1" fontId="1" fillId="2" borderId="23" xfId="0" applyNumberFormat="1" applyFont="1" applyFill="1" applyBorder="1" applyAlignment="1">
      <alignment horizontal="center"/>
    </xf>
    <xf numFmtId="164" fontId="1" fillId="2" borderId="13" xfId="0" applyNumberFormat="1" applyFont="1" applyFill="1" applyBorder="1" applyAlignment="1">
      <alignment horizontal="center"/>
    </xf>
    <xf numFmtId="164" fontId="1" fillId="2" borderId="15" xfId="0" applyNumberFormat="1" applyFont="1" applyFill="1" applyBorder="1" applyAlignment="1">
      <alignment horizontal="center"/>
    </xf>
    <xf numFmtId="164" fontId="1" fillId="3" borderId="13" xfId="0" applyNumberFormat="1" applyFont="1" applyFill="1" applyBorder="1" applyAlignment="1">
      <alignment horizontal="center"/>
    </xf>
    <xf numFmtId="164" fontId="1" fillId="3" borderId="15" xfId="0" applyNumberFormat="1" applyFont="1" applyFill="1" applyBorder="1" applyAlignment="1">
      <alignment horizontal="center"/>
    </xf>
    <xf numFmtId="1" fontId="1" fillId="2" borderId="13" xfId="0" applyNumberFormat="1" applyFont="1" applyFill="1" applyBorder="1" applyAlignment="1">
      <alignment horizontal="center"/>
    </xf>
    <xf numFmtId="0" fontId="1" fillId="2" borderId="0" xfId="0" applyFont="1" applyFill="1" applyAlignment="1">
      <alignment horizontal="left"/>
    </xf>
    <xf numFmtId="0" fontId="0" fillId="2" borderId="0" xfId="0" applyFill="1"/>
    <xf numFmtId="0" fontId="0" fillId="2" borderId="17" xfId="0" applyFill="1" applyBorder="1"/>
    <xf numFmtId="1" fontId="1" fillId="2" borderId="15" xfId="0" applyNumberFormat="1" applyFont="1" applyFill="1" applyBorder="1" applyAlignment="1">
      <alignment horizontal="center"/>
    </xf>
    <xf numFmtId="1" fontId="1" fillId="3" borderId="13" xfId="0" applyNumberFormat="1" applyFont="1" applyFill="1" applyBorder="1" applyAlignment="1">
      <alignment horizontal="center"/>
    </xf>
    <xf numFmtId="1" fontId="1" fillId="3" borderId="0" xfId="0" applyNumberFormat="1" applyFont="1" applyFill="1" applyAlignment="1">
      <alignment horizontal="center"/>
    </xf>
    <xf numFmtId="1" fontId="1" fillId="3" borderId="15" xfId="0" applyNumberFormat="1" applyFont="1" applyFill="1" applyBorder="1" applyAlignment="1">
      <alignment horizontal="center"/>
    </xf>
    <xf numFmtId="1" fontId="1" fillId="2" borderId="4" xfId="0" applyNumberFormat="1" applyFont="1" applyFill="1" applyBorder="1" applyAlignment="1">
      <alignment horizontal="center"/>
    </xf>
    <xf numFmtId="1" fontId="1" fillId="2" borderId="10" xfId="0" applyNumberFormat="1" applyFont="1" applyFill="1" applyBorder="1" applyAlignment="1">
      <alignment horizontal="center"/>
    </xf>
    <xf numFmtId="1" fontId="1" fillId="2" borderId="5" xfId="0" applyNumberFormat="1" applyFont="1" applyFill="1" applyBorder="1" applyAlignment="1">
      <alignment horizontal="center"/>
    </xf>
    <xf numFmtId="0" fontId="2" fillId="2" borderId="0" xfId="0" applyFont="1" applyFill="1" applyAlignment="1">
      <alignment horizontal="center"/>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13" xfId="0" applyFont="1" applyFill="1" applyBorder="1" applyAlignment="1">
      <alignment horizont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2" fontId="1" fillId="2" borderId="0" xfId="0" applyNumberFormat="1" applyFont="1" applyFill="1" applyAlignment="1">
      <alignment horizontal="center" vertical="center" wrapText="1"/>
    </xf>
    <xf numFmtId="165" fontId="1" fillId="2" borderId="10" xfId="0" applyNumberFormat="1" applyFont="1" applyFill="1" applyBorder="1" applyAlignment="1">
      <alignment horizontal="center" vertical="center" wrapText="1"/>
    </xf>
    <xf numFmtId="164" fontId="1" fillId="2" borderId="6" xfId="0" applyNumberFormat="1" applyFont="1" applyFill="1" applyBorder="1" applyAlignment="1">
      <alignment horizontal="center"/>
    </xf>
    <xf numFmtId="164" fontId="1" fillId="2" borderId="9" xfId="0" applyNumberFormat="1" applyFont="1" applyFill="1" applyBorder="1" applyAlignment="1">
      <alignment horizontal="center"/>
    </xf>
    <xf numFmtId="164" fontId="1" fillId="2" borderId="3" xfId="0" applyNumberFormat="1" applyFont="1" applyFill="1" applyBorder="1" applyAlignment="1">
      <alignment horizontal="center"/>
    </xf>
    <xf numFmtId="0" fontId="2" fillId="2" borderId="13" xfId="0" applyFont="1" applyFill="1" applyBorder="1" applyAlignment="1">
      <alignment horizontal="center" vertical="top"/>
    </xf>
    <xf numFmtId="0" fontId="2" fillId="2" borderId="0" xfId="0" applyFont="1" applyFill="1" applyAlignment="1">
      <alignment horizontal="center" vertical="top"/>
    </xf>
    <xf numFmtId="0" fontId="2" fillId="2" borderId="15" xfId="0" applyFont="1" applyFill="1" applyBorder="1" applyAlignment="1">
      <alignment horizontal="center" vertical="top"/>
    </xf>
    <xf numFmtId="0" fontId="1" fillId="2" borderId="6" xfId="0" applyFont="1" applyFill="1" applyBorder="1" applyAlignment="1">
      <alignment horizontal="center"/>
    </xf>
    <xf numFmtId="0" fontId="1" fillId="2" borderId="9" xfId="0" applyFont="1" applyFill="1" applyBorder="1" applyAlignment="1">
      <alignment horizontal="center"/>
    </xf>
    <xf numFmtId="0" fontId="1" fillId="2" borderId="3" xfId="0" applyFont="1" applyFill="1" applyBorder="1" applyAlignment="1">
      <alignment horizont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1" fontId="1" fillId="2" borderId="6" xfId="0" applyNumberFormat="1" applyFont="1" applyFill="1" applyBorder="1" applyAlignment="1">
      <alignment horizontal="center"/>
    </xf>
    <xf numFmtId="1" fontId="1" fillId="2" borderId="9" xfId="0" applyNumberFormat="1" applyFont="1" applyFill="1" applyBorder="1" applyAlignment="1">
      <alignment horizontal="center"/>
    </xf>
    <xf numFmtId="1" fontId="1" fillId="2" borderId="3" xfId="0" applyNumberFormat="1" applyFont="1" applyFill="1" applyBorder="1" applyAlignment="1">
      <alignment horizontal="center"/>
    </xf>
    <xf numFmtId="0" fontId="2" fillId="2" borderId="0" xfId="0" applyFont="1" applyFill="1"/>
    <xf numFmtId="0" fontId="2" fillId="2" borderId="0" xfId="0" applyFont="1" applyFill="1" applyAlignment="1">
      <alignment vertical="top"/>
    </xf>
    <xf numFmtId="0" fontId="2" fillId="2" borderId="0" xfId="0" applyFont="1" applyFill="1" applyAlignment="1">
      <alignment vertical="center"/>
    </xf>
    <xf numFmtId="1" fontId="1" fillId="2" borderId="14"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5" xfId="0" applyFont="1" applyFill="1" applyBorder="1" applyAlignment="1">
      <alignment horizontal="center" vertical="center"/>
    </xf>
    <xf numFmtId="1" fontId="1" fillId="2" borderId="16" xfId="0" applyNumberFormat="1" applyFont="1" applyFill="1" applyBorder="1" applyAlignment="1">
      <alignment horizontal="center" vertical="center"/>
    </xf>
    <xf numFmtId="0" fontId="2" fillId="2" borderId="0" xfId="0" applyFont="1" applyFill="1" applyAlignment="1">
      <alignment horizontal="right" vertical="center"/>
    </xf>
    <xf numFmtId="1" fontId="1" fillId="2" borderId="12" xfId="0" applyNumberFormat="1" applyFont="1" applyFill="1" applyBorder="1" applyAlignment="1">
      <alignment horizontal="center" vertical="center"/>
    </xf>
    <xf numFmtId="0" fontId="1" fillId="2" borderId="1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 xfId="0" applyFont="1" applyFill="1" applyBorder="1" applyAlignment="1">
      <alignment horizontal="right" vertical="center"/>
    </xf>
    <xf numFmtId="0" fontId="1" fillId="2" borderId="5" xfId="0" applyFont="1" applyFill="1" applyBorder="1" applyAlignment="1">
      <alignment horizontal="left" vertical="center"/>
    </xf>
    <xf numFmtId="1" fontId="1" fillId="2" borderId="3" xfId="0" applyNumberFormat="1" applyFont="1" applyFill="1" applyBorder="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horizontal="left" vertical="center"/>
    </xf>
    <xf numFmtId="0" fontId="1" fillId="2" borderId="13" xfId="0" applyFont="1" applyFill="1" applyBorder="1" applyAlignment="1">
      <alignment horizontal="right" vertical="center"/>
    </xf>
    <xf numFmtId="0" fontId="1" fillId="2" borderId="15" xfId="0" applyFont="1" applyFill="1" applyBorder="1" applyAlignment="1">
      <alignment horizontal="left" vertical="center"/>
    </xf>
    <xf numFmtId="1" fontId="1" fillId="2" borderId="0" xfId="0" applyNumberFormat="1" applyFont="1" applyFill="1" applyAlignment="1">
      <alignment horizontal="center" vertical="center"/>
    </xf>
    <xf numFmtId="0" fontId="1" fillId="4" borderId="10" xfId="0" applyFont="1" applyFill="1" applyBorder="1" applyAlignment="1" applyProtection="1">
      <alignment horizontal="center" vertical="center"/>
      <protection locked="0"/>
    </xf>
    <xf numFmtId="3" fontId="1" fillId="4" borderId="0" xfId="0" applyNumberFormat="1" applyFont="1" applyFill="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2" fillId="2" borderId="15" xfId="0" applyFont="1" applyFill="1" applyBorder="1" applyAlignment="1">
      <alignment horizontal="left" vertical="center"/>
    </xf>
    <xf numFmtId="2" fontId="1" fillId="5" borderId="0" xfId="0" applyNumberFormat="1" applyFont="1" applyFill="1" applyAlignment="1">
      <alignment horizontal="center" vertical="center"/>
    </xf>
    <xf numFmtId="164" fontId="1" fillId="5" borderId="0" xfId="0" applyNumberFormat="1" applyFont="1" applyFill="1" applyAlignment="1">
      <alignment horizontal="center" vertical="center"/>
    </xf>
    <xf numFmtId="0" fontId="4" fillId="2" borderId="0" xfId="0" applyFont="1" applyFill="1" applyAlignment="1">
      <alignment horizontal="right" vertical="center"/>
    </xf>
    <xf numFmtId="1" fontId="1" fillId="5" borderId="0" xfId="0" applyNumberFormat="1" applyFont="1" applyFill="1" applyAlignment="1">
      <alignment horizontal="center" vertical="center"/>
    </xf>
    <xf numFmtId="2" fontId="1" fillId="5" borderId="10" xfId="0" applyNumberFormat="1" applyFont="1" applyFill="1" applyBorder="1" applyAlignment="1">
      <alignment horizontal="center" vertical="center"/>
    </xf>
    <xf numFmtId="3" fontId="1" fillId="5" borderId="0" xfId="0" applyNumberFormat="1" applyFont="1" applyFill="1" applyAlignment="1">
      <alignment horizontal="center" vertical="center"/>
    </xf>
    <xf numFmtId="164" fontId="1" fillId="5" borderId="10" xfId="0" applyNumberFormat="1" applyFont="1" applyFill="1" applyBorder="1" applyAlignment="1">
      <alignment horizontal="center" vertical="center"/>
    </xf>
    <xf numFmtId="2" fontId="1" fillId="2" borderId="15" xfId="0" applyNumberFormat="1" applyFont="1" applyFill="1" applyBorder="1" applyAlignment="1">
      <alignment horizontal="center"/>
    </xf>
    <xf numFmtId="2" fontId="1" fillId="3" borderId="13" xfId="0" applyNumberFormat="1" applyFont="1" applyFill="1" applyBorder="1" applyAlignment="1">
      <alignment horizontal="center"/>
    </xf>
    <xf numFmtId="2" fontId="1" fillId="3" borderId="0" xfId="0" applyNumberFormat="1" applyFont="1" applyFill="1" applyAlignment="1">
      <alignment horizontal="center"/>
    </xf>
    <xf numFmtId="2" fontId="1" fillId="3" borderId="15" xfId="0" applyNumberFormat="1" applyFont="1" applyFill="1" applyBorder="1" applyAlignment="1">
      <alignment horizontal="center"/>
    </xf>
    <xf numFmtId="2" fontId="1" fillId="2" borderId="6" xfId="0" applyNumberFormat="1" applyFont="1" applyFill="1" applyBorder="1" applyAlignment="1">
      <alignment horizontal="center"/>
    </xf>
    <xf numFmtId="2" fontId="1" fillId="2" borderId="9" xfId="0" applyNumberFormat="1" applyFont="1" applyFill="1" applyBorder="1" applyAlignment="1">
      <alignment horizontal="center"/>
    </xf>
    <xf numFmtId="2" fontId="1" fillId="2" borderId="3" xfId="0" applyNumberFormat="1" applyFont="1" applyFill="1" applyBorder="1" applyAlignment="1">
      <alignment horizontal="center"/>
    </xf>
    <xf numFmtId="0" fontId="0" fillId="0" borderId="0" xfId="0" applyAlignment="1">
      <alignment vertical="center"/>
    </xf>
    <xf numFmtId="0" fontId="0" fillId="0" borderId="0" xfId="0" applyAlignment="1">
      <alignment horizontal="center" vertical="center"/>
    </xf>
    <xf numFmtId="0" fontId="10" fillId="4" borderId="4" xfId="0" applyFont="1" applyFill="1" applyBorder="1" applyAlignment="1">
      <alignment horizontal="left" vertical="center"/>
    </xf>
    <xf numFmtId="0" fontId="10" fillId="4" borderId="5" xfId="0" applyFont="1" applyFill="1" applyBorder="1" applyAlignment="1">
      <alignment horizontal="left" vertical="center"/>
    </xf>
    <xf numFmtId="0" fontId="11" fillId="2" borderId="0" xfId="0" applyFont="1" applyFill="1" applyAlignment="1">
      <alignment horizontal="left" vertical="center"/>
    </xf>
    <xf numFmtId="0" fontId="10" fillId="4" borderId="13" xfId="0" applyFont="1" applyFill="1" applyBorder="1" applyAlignment="1">
      <alignment horizontal="left" vertical="center"/>
    </xf>
    <xf numFmtId="0" fontId="10" fillId="4" borderId="0" xfId="0" applyFont="1" applyFill="1" applyAlignment="1">
      <alignment horizontal="left" vertical="center"/>
    </xf>
    <xf numFmtId="0" fontId="10" fillId="4" borderId="15" xfId="0" applyFont="1" applyFill="1" applyBorder="1" applyAlignment="1">
      <alignment horizontal="left" vertical="center"/>
    </xf>
    <xf numFmtId="0" fontId="10" fillId="2" borderId="0" xfId="0" applyFont="1" applyFill="1"/>
    <xf numFmtId="0" fontId="12" fillId="4" borderId="6" xfId="0" applyFont="1" applyFill="1" applyBorder="1" applyAlignment="1">
      <alignment horizontal="left" vertical="center"/>
    </xf>
    <xf numFmtId="0" fontId="10" fillId="4" borderId="9" xfId="0" applyFont="1" applyFill="1" applyBorder="1" applyAlignment="1">
      <alignment horizontal="left" vertical="center"/>
    </xf>
    <xf numFmtId="0" fontId="12" fillId="4" borderId="12" xfId="0" applyFont="1" applyFill="1" applyBorder="1" applyAlignment="1">
      <alignment horizontal="center" vertical="center"/>
    </xf>
    <xf numFmtId="0" fontId="10" fillId="4" borderId="5" xfId="0" applyFont="1" applyFill="1" applyBorder="1" applyAlignment="1">
      <alignment vertical="center"/>
    </xf>
    <xf numFmtId="0" fontId="10" fillId="6" borderId="16" xfId="0" applyFont="1" applyFill="1" applyBorder="1" applyAlignment="1" applyProtection="1">
      <alignment horizontal="center" vertical="center"/>
      <protection locked="0"/>
    </xf>
    <xf numFmtId="0" fontId="10" fillId="4" borderId="0" xfId="0" applyFont="1" applyFill="1" applyAlignment="1">
      <alignment vertical="center"/>
    </xf>
    <xf numFmtId="0" fontId="10" fillId="4" borderId="15" xfId="0" applyFont="1" applyFill="1" applyBorder="1" applyAlignment="1">
      <alignment vertical="center"/>
    </xf>
    <xf numFmtId="1" fontId="10" fillId="6" borderId="14" xfId="0" applyNumberFormat="1" applyFont="1" applyFill="1" applyBorder="1" applyAlignment="1" applyProtection="1">
      <alignment horizontal="center" vertical="center"/>
      <protection locked="0"/>
    </xf>
    <xf numFmtId="0" fontId="10" fillId="4" borderId="14" xfId="0" applyFont="1" applyFill="1" applyBorder="1" applyAlignment="1">
      <alignment horizontal="left" vertical="center"/>
    </xf>
    <xf numFmtId="3" fontId="10" fillId="4" borderId="14" xfId="0" applyNumberFormat="1" applyFont="1" applyFill="1" applyBorder="1" applyAlignment="1">
      <alignment horizontal="center" vertical="center"/>
    </xf>
    <xf numFmtId="3" fontId="10" fillId="6" borderId="14" xfId="0" applyNumberFormat="1"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3" fontId="10" fillId="6" borderId="14" xfId="1" applyNumberFormat="1" applyFont="1" applyFill="1" applyBorder="1" applyAlignment="1" applyProtection="1">
      <alignment horizontal="center" vertical="center"/>
      <protection locked="0"/>
    </xf>
    <xf numFmtId="9" fontId="10" fillId="6" borderId="14" xfId="2" applyFont="1" applyFill="1" applyBorder="1" applyAlignment="1" applyProtection="1">
      <alignment horizontal="center" vertical="center"/>
      <protection locked="0"/>
    </xf>
    <xf numFmtId="0" fontId="10" fillId="6" borderId="14" xfId="2" applyNumberFormat="1" applyFont="1" applyFill="1" applyBorder="1" applyAlignment="1" applyProtection="1">
      <alignment horizontal="center" vertical="center"/>
      <protection locked="0"/>
    </xf>
    <xf numFmtId="9" fontId="10" fillId="6" borderId="12" xfId="2" applyFont="1" applyFill="1" applyBorder="1" applyAlignment="1" applyProtection="1">
      <alignment horizontal="center" vertical="center"/>
      <protection locked="0"/>
    </xf>
    <xf numFmtId="9" fontId="10" fillId="4" borderId="0" xfId="2" applyFont="1" applyFill="1" applyBorder="1" applyAlignment="1" applyProtection="1">
      <alignment horizontal="center" vertical="center"/>
    </xf>
    <xf numFmtId="9" fontId="10" fillId="6" borderId="1" xfId="2" applyFont="1" applyFill="1" applyBorder="1" applyAlignment="1" applyProtection="1">
      <alignment horizontal="center" vertical="center"/>
      <protection locked="0"/>
    </xf>
    <xf numFmtId="3" fontId="10" fillId="4" borderId="0" xfId="0" applyNumberFormat="1" applyFont="1" applyFill="1" applyAlignment="1">
      <alignment horizontal="right" vertical="center"/>
    </xf>
    <xf numFmtId="164" fontId="10" fillId="6" borderId="1" xfId="0" applyNumberFormat="1" applyFont="1" applyFill="1" applyBorder="1" applyAlignment="1" applyProtection="1">
      <alignment horizontal="center" vertical="center"/>
      <protection locked="0"/>
    </xf>
    <xf numFmtId="167" fontId="10" fillId="4" borderId="0" xfId="0" applyNumberFormat="1" applyFont="1" applyFill="1" applyAlignment="1">
      <alignment horizontal="right" vertical="center"/>
    </xf>
    <xf numFmtId="3" fontId="10" fillId="4" borderId="13" xfId="0" applyNumberFormat="1" applyFont="1" applyFill="1" applyBorder="1" applyAlignment="1">
      <alignment horizontal="center" vertical="center"/>
    </xf>
    <xf numFmtId="3" fontId="10" fillId="4" borderId="0" xfId="0" applyNumberFormat="1" applyFont="1" applyFill="1" applyAlignment="1">
      <alignment horizontal="left" vertical="center"/>
    </xf>
    <xf numFmtId="3" fontId="10" fillId="4" borderId="1" xfId="0" applyNumberFormat="1" applyFont="1" applyFill="1" applyBorder="1" applyAlignment="1">
      <alignment horizontal="center" vertical="center"/>
    </xf>
    <xf numFmtId="3" fontId="10" fillId="4" borderId="13" xfId="0" applyNumberFormat="1" applyFont="1" applyFill="1" applyBorder="1" applyAlignment="1">
      <alignment horizontal="right" vertical="center"/>
    </xf>
    <xf numFmtId="0" fontId="10" fillId="2" borderId="0" xfId="0" applyFont="1" applyFill="1" applyAlignment="1">
      <alignment horizontal="left" vertical="center"/>
    </xf>
    <xf numFmtId="0" fontId="12" fillId="2" borderId="0" xfId="0" applyFont="1" applyFill="1" applyAlignment="1">
      <alignment horizontal="center" vertical="center"/>
    </xf>
    <xf numFmtId="0" fontId="12" fillId="4" borderId="13" xfId="0" applyFont="1" applyFill="1" applyBorder="1" applyAlignment="1">
      <alignment horizontal="center" vertical="center"/>
    </xf>
    <xf numFmtId="0" fontId="12" fillId="4" borderId="0" xfId="0" applyFont="1" applyFill="1" applyAlignment="1">
      <alignment horizontal="center" vertical="center"/>
    </xf>
    <xf numFmtId="0" fontId="12" fillId="4" borderId="14" xfId="0" applyFont="1" applyFill="1" applyBorder="1" applyAlignment="1">
      <alignment horizontal="center" vertical="center"/>
    </xf>
    <xf numFmtId="0" fontId="10" fillId="2" borderId="0" xfId="0" applyFont="1" applyFill="1" applyAlignment="1">
      <alignment horizontal="center" vertical="center"/>
    </xf>
    <xf numFmtId="0" fontId="12" fillId="4" borderId="13" xfId="0" applyFont="1" applyFill="1" applyBorder="1" applyAlignment="1">
      <alignment horizontal="left" vertical="center"/>
    </xf>
    <xf numFmtId="0" fontId="10" fillId="4" borderId="9"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0" xfId="0" applyFont="1" applyFill="1" applyAlignment="1">
      <alignment horizontal="center" vertical="center"/>
    </xf>
    <xf numFmtId="0" fontId="10" fillId="4" borderId="9" xfId="0" applyFont="1" applyFill="1" applyBorder="1" applyAlignment="1">
      <alignment horizontal="center"/>
    </xf>
    <xf numFmtId="3" fontId="10" fillId="6" borderId="0" xfId="0" applyNumberFormat="1" applyFont="1" applyFill="1" applyAlignment="1" applyProtection="1">
      <alignment horizontal="center" vertical="center"/>
      <protection locked="0"/>
    </xf>
    <xf numFmtId="2" fontId="10" fillId="4" borderId="14" xfId="0" applyNumberFormat="1" applyFont="1" applyFill="1" applyBorder="1" applyAlignment="1">
      <alignment horizontal="center" vertical="center"/>
    </xf>
    <xf numFmtId="3" fontId="10" fillId="4" borderId="4" xfId="0" applyNumberFormat="1" applyFont="1" applyFill="1" applyBorder="1" applyAlignment="1">
      <alignment horizontal="center" vertical="center"/>
    </xf>
    <xf numFmtId="2" fontId="10" fillId="4" borderId="5" xfId="0" applyNumberFormat="1" applyFont="1" applyFill="1" applyBorder="1" applyAlignment="1">
      <alignment horizontal="center" vertical="center"/>
    </xf>
    <xf numFmtId="3" fontId="10" fillId="4" borderId="4" xfId="2" applyNumberFormat="1" applyFont="1" applyFill="1" applyBorder="1" applyAlignment="1" applyProtection="1">
      <alignment horizontal="center" vertical="center"/>
    </xf>
    <xf numFmtId="2" fontId="10" fillId="4" borderId="15" xfId="2" applyNumberFormat="1" applyFont="1" applyFill="1" applyBorder="1" applyAlignment="1" applyProtection="1">
      <alignment horizontal="center" vertical="center"/>
    </xf>
    <xf numFmtId="9" fontId="10" fillId="4" borderId="4" xfId="0" applyNumberFormat="1" applyFont="1" applyFill="1" applyBorder="1" applyAlignment="1">
      <alignment horizontal="center"/>
    </xf>
    <xf numFmtId="3" fontId="10" fillId="6" borderId="15" xfId="0" applyNumberFormat="1" applyFont="1" applyFill="1" applyBorder="1" applyAlignment="1" applyProtection="1">
      <alignment horizontal="center" vertical="center"/>
      <protection locked="0"/>
    </xf>
    <xf numFmtId="3" fontId="10" fillId="4" borderId="0" xfId="0" applyNumberFormat="1" applyFont="1" applyFill="1" applyAlignment="1">
      <alignment horizontal="center" vertical="center"/>
    </xf>
    <xf numFmtId="4" fontId="10" fillId="4" borderId="15" xfId="0" applyNumberFormat="1" applyFont="1" applyFill="1" applyBorder="1" applyAlignment="1">
      <alignment horizontal="center" vertical="center"/>
    </xf>
    <xf numFmtId="2" fontId="10" fillId="4" borderId="0" xfId="2" applyNumberFormat="1" applyFont="1" applyFill="1" applyBorder="1" applyAlignment="1" applyProtection="1">
      <alignment horizontal="center" vertical="center"/>
    </xf>
    <xf numFmtId="9" fontId="10" fillId="4" borderId="13" xfId="2" applyFont="1" applyFill="1" applyBorder="1" applyAlignment="1" applyProtection="1">
      <alignment horizontal="center" vertical="center"/>
    </xf>
    <xf numFmtId="0" fontId="12" fillId="2" borderId="0" xfId="0" applyFont="1" applyFill="1" applyAlignment="1">
      <alignment horizontal="center" vertical="center" textRotation="90"/>
    </xf>
    <xf numFmtId="2" fontId="10" fillId="4" borderId="15" xfId="0" applyNumberFormat="1" applyFont="1" applyFill="1" applyBorder="1" applyAlignment="1">
      <alignment horizontal="center" vertical="center"/>
    </xf>
    <xf numFmtId="9" fontId="10" fillId="4" borderId="15" xfId="2" applyFont="1" applyFill="1" applyBorder="1" applyAlignment="1" applyProtection="1">
      <alignment horizontal="center" vertical="center"/>
    </xf>
    <xf numFmtId="0" fontId="10" fillId="4" borderId="0" xfId="0" applyFont="1" applyFill="1"/>
    <xf numFmtId="2" fontId="10" fillId="4" borderId="0" xfId="0" applyNumberFormat="1" applyFont="1" applyFill="1" applyAlignment="1">
      <alignment horizontal="center" vertical="center"/>
    </xf>
    <xf numFmtId="3" fontId="10" fillId="4" borderId="6" xfId="0" applyNumberFormat="1" applyFont="1" applyFill="1" applyBorder="1" applyAlignment="1">
      <alignment horizontal="center" vertical="center"/>
    </xf>
    <xf numFmtId="2" fontId="10" fillId="4" borderId="3" xfId="0" applyNumberFormat="1" applyFont="1" applyFill="1" applyBorder="1" applyAlignment="1">
      <alignment horizontal="center" vertical="center"/>
    </xf>
    <xf numFmtId="9" fontId="10" fillId="4" borderId="6" xfId="2" applyFont="1" applyFill="1" applyBorder="1" applyAlignment="1" applyProtection="1">
      <alignment horizontal="center" vertical="center"/>
    </xf>
    <xf numFmtId="0" fontId="10" fillId="4" borderId="16" xfId="0" applyFont="1" applyFill="1" applyBorder="1" applyAlignment="1">
      <alignment horizontal="center" vertical="center"/>
    </xf>
    <xf numFmtId="3" fontId="10" fillId="6" borderId="10" xfId="0" applyNumberFormat="1" applyFont="1" applyFill="1" applyBorder="1" applyAlignment="1" applyProtection="1">
      <alignment horizontal="center" vertical="center"/>
      <protection locked="0"/>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9" xfId="0" applyFont="1" applyFill="1" applyBorder="1" applyAlignment="1">
      <alignment vertical="center"/>
    </xf>
    <xf numFmtId="0" fontId="10" fillId="4" borderId="3" xfId="0" applyFont="1" applyFill="1" applyBorder="1" applyAlignment="1">
      <alignment vertical="center"/>
    </xf>
    <xf numFmtId="3" fontId="10" fillId="6" borderId="9" xfId="0" applyNumberFormat="1" applyFont="1" applyFill="1" applyBorder="1" applyAlignment="1" applyProtection="1">
      <alignment horizontal="center" vertical="center"/>
      <protection locked="0"/>
    </xf>
    <xf numFmtId="0" fontId="10" fillId="4" borderId="13" xfId="0" applyFont="1" applyFill="1" applyBorder="1" applyAlignment="1">
      <alignment vertical="center" wrapText="1"/>
    </xf>
    <xf numFmtId="0" fontId="10" fillId="4" borderId="0" xfId="0" applyFont="1" applyFill="1" applyAlignment="1">
      <alignment horizontal="right" vertical="center"/>
    </xf>
    <xf numFmtId="0" fontId="10" fillId="4" borderId="15" xfId="0" applyFont="1" applyFill="1" applyBorder="1" applyAlignment="1">
      <alignment horizontal="right" vertical="center"/>
    </xf>
    <xf numFmtId="0" fontId="10" fillId="4" borderId="3" xfId="0" applyFont="1" applyFill="1" applyBorder="1" applyAlignment="1">
      <alignment horizontal="left" vertical="center"/>
    </xf>
    <xf numFmtId="0" fontId="10" fillId="4" borderId="3" xfId="0" applyFont="1" applyFill="1" applyBorder="1" applyAlignment="1">
      <alignment horizontal="center" vertical="center"/>
    </xf>
    <xf numFmtId="3" fontId="10" fillId="6" borderId="13" xfId="1" applyNumberFormat="1" applyFont="1" applyFill="1" applyBorder="1" applyAlignment="1" applyProtection="1">
      <alignment horizontal="center" vertical="center"/>
      <protection locked="0"/>
    </xf>
    <xf numFmtId="37" fontId="10" fillId="4" borderId="15" xfId="1" applyNumberFormat="1" applyFont="1" applyFill="1" applyBorder="1" applyAlignment="1" applyProtection="1">
      <alignment horizontal="center"/>
    </xf>
    <xf numFmtId="0" fontId="10" fillId="4" borderId="6" xfId="0" applyFont="1" applyFill="1" applyBorder="1" applyAlignment="1">
      <alignment horizontal="left" vertical="center"/>
    </xf>
    <xf numFmtId="0" fontId="10" fillId="6" borderId="12" xfId="0" applyFont="1" applyFill="1" applyBorder="1" applyAlignment="1" applyProtection="1">
      <alignment horizontal="center" vertical="center"/>
      <protection locked="0"/>
    </xf>
    <xf numFmtId="3" fontId="10" fillId="4" borderId="5" xfId="0" applyNumberFormat="1" applyFont="1" applyFill="1" applyBorder="1" applyAlignment="1">
      <alignment horizontal="center" vertical="center"/>
    </xf>
    <xf numFmtId="0" fontId="11" fillId="4" borderId="15" xfId="0" applyFont="1" applyFill="1" applyBorder="1" applyAlignment="1">
      <alignment horizontal="left" vertical="center"/>
    </xf>
    <xf numFmtId="0" fontId="10" fillId="4" borderId="15" xfId="0" applyFont="1" applyFill="1" applyBorder="1"/>
    <xf numFmtId="0" fontId="12" fillId="4" borderId="15" xfId="0" applyFont="1" applyFill="1" applyBorder="1" applyAlignment="1">
      <alignment vertical="center"/>
    </xf>
    <xf numFmtId="9" fontId="10" fillId="4" borderId="15" xfId="0" applyNumberFormat="1" applyFont="1" applyFill="1" applyBorder="1" applyAlignment="1">
      <alignment horizontal="center"/>
    </xf>
    <xf numFmtId="2" fontId="10" fillId="4" borderId="12"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4" borderId="13" xfId="0" applyFont="1" applyFill="1" applyBorder="1"/>
    <xf numFmtId="3" fontId="10" fillId="4" borderId="16" xfId="0" applyNumberFormat="1" applyFont="1" applyFill="1" applyBorder="1" applyAlignment="1">
      <alignment horizontal="center" vertical="center"/>
    </xf>
    <xf numFmtId="1" fontId="10" fillId="4" borderId="14" xfId="0" applyNumberFormat="1" applyFont="1" applyFill="1" applyBorder="1" applyAlignment="1">
      <alignment horizontal="center" vertical="center"/>
    </xf>
    <xf numFmtId="0" fontId="11" fillId="4" borderId="0" xfId="0" applyFont="1" applyFill="1" applyAlignment="1">
      <alignment horizontal="left" vertical="center"/>
    </xf>
    <xf numFmtId="3" fontId="10" fillId="4" borderId="12" xfId="0" applyNumberFormat="1" applyFont="1" applyFill="1" applyBorder="1" applyAlignment="1">
      <alignment horizontal="center" vertical="center"/>
    </xf>
    <xf numFmtId="1" fontId="10" fillId="4" borderId="12" xfId="0" applyNumberFormat="1" applyFont="1" applyFill="1" applyBorder="1" applyAlignment="1">
      <alignment horizontal="center" vertical="center"/>
    </xf>
    <xf numFmtId="0" fontId="10" fillId="4" borderId="9" xfId="0" applyFont="1" applyFill="1" applyBorder="1" applyAlignment="1">
      <alignment wrapText="1"/>
    </xf>
    <xf numFmtId="0" fontId="10" fillId="4" borderId="4" xfId="0" applyFont="1" applyFill="1" applyBorder="1" applyAlignment="1">
      <alignment vertical="center"/>
    </xf>
    <xf numFmtId="0" fontId="10" fillId="2" borderId="0" xfId="0" applyFont="1" applyFill="1" applyAlignment="1">
      <alignment vertical="center"/>
    </xf>
    <xf numFmtId="0" fontId="10" fillId="4" borderId="13" xfId="0" applyFont="1" applyFill="1" applyBorder="1" applyAlignment="1">
      <alignment vertical="center"/>
    </xf>
    <xf numFmtId="0" fontId="14" fillId="4" borderId="1" xfId="0" applyFont="1" applyFill="1" applyBorder="1" applyAlignment="1">
      <alignment vertical="center"/>
    </xf>
    <xf numFmtId="0" fontId="12" fillId="4" borderId="0" xfId="0" applyFont="1" applyFill="1" applyAlignment="1">
      <alignment vertical="center"/>
    </xf>
    <xf numFmtId="0" fontId="10" fillId="4" borderId="11" xfId="0" applyFont="1" applyFill="1" applyBorder="1" applyAlignment="1">
      <alignment horizontal="center" vertical="center"/>
    </xf>
    <xf numFmtId="0" fontId="10" fillId="4" borderId="30" xfId="0" applyFont="1" applyFill="1" applyBorder="1" applyAlignment="1">
      <alignment horizontal="center" vertical="center"/>
    </xf>
    <xf numFmtId="165" fontId="10" fillId="4" borderId="12" xfId="0" applyNumberFormat="1" applyFont="1" applyFill="1" applyBorder="1" applyAlignment="1">
      <alignment horizontal="center" vertical="center"/>
    </xf>
    <xf numFmtId="0" fontId="10" fillId="4" borderId="26" xfId="0" applyFont="1" applyFill="1" applyBorder="1" applyAlignment="1">
      <alignment horizontal="center" vertical="center"/>
    </xf>
    <xf numFmtId="2" fontId="10" fillId="6" borderId="12" xfId="0" applyNumberFormat="1" applyFont="1" applyFill="1" applyBorder="1" applyAlignment="1" applyProtection="1">
      <alignment horizontal="center" vertical="center"/>
      <protection locked="0"/>
    </xf>
    <xf numFmtId="2" fontId="10" fillId="4" borderId="3" xfId="2" applyNumberFormat="1" applyFont="1" applyFill="1" applyBorder="1" applyAlignment="1" applyProtection="1">
      <alignment horizontal="center" vertical="center"/>
    </xf>
    <xf numFmtId="4" fontId="10" fillId="4" borderId="12" xfId="0" applyNumberFormat="1" applyFont="1" applyFill="1" applyBorder="1" applyAlignment="1">
      <alignment horizontal="center" vertical="center"/>
    </xf>
    <xf numFmtId="3" fontId="10" fillId="4" borderId="33" xfId="0" applyNumberFormat="1" applyFont="1" applyFill="1" applyBorder="1" applyAlignment="1">
      <alignment horizontal="center" vertical="center"/>
    </xf>
    <xf numFmtId="0" fontId="10" fillId="4" borderId="33" xfId="0" applyFont="1" applyFill="1" applyBorder="1" applyAlignment="1">
      <alignment horizontal="center" vertical="center"/>
    </xf>
    <xf numFmtId="0" fontId="10" fillId="4" borderId="1" xfId="0" applyFont="1" applyFill="1" applyBorder="1" applyAlignment="1">
      <alignment vertical="center"/>
    </xf>
    <xf numFmtId="2" fontId="10" fillId="4" borderId="33" xfId="0" applyNumberFormat="1" applyFont="1" applyFill="1" applyBorder="1" applyAlignment="1">
      <alignment horizontal="center" vertical="center"/>
    </xf>
    <xf numFmtId="1" fontId="10" fillId="4" borderId="0" xfId="0" applyNumberFormat="1" applyFont="1" applyFill="1" applyAlignment="1">
      <alignment horizontal="center" vertical="center"/>
    </xf>
    <xf numFmtId="168" fontId="10" fillId="4" borderId="0" xfId="0" applyNumberFormat="1" applyFont="1" applyFill="1" applyAlignment="1">
      <alignment horizontal="center" vertical="center"/>
    </xf>
    <xf numFmtId="0" fontId="10" fillId="6" borderId="1" xfId="0" applyFont="1" applyFill="1" applyBorder="1" applyAlignment="1" applyProtection="1">
      <alignment horizontal="center" vertical="center"/>
      <protection locked="0"/>
    </xf>
    <xf numFmtId="3" fontId="10" fillId="6" borderId="1" xfId="1" applyNumberFormat="1" applyFont="1" applyFill="1" applyBorder="1" applyAlignment="1" applyProtection="1">
      <alignment horizontal="center" vertical="center"/>
      <protection locked="0"/>
    </xf>
    <xf numFmtId="0" fontId="16" fillId="4" borderId="0" xfId="0" applyFont="1" applyFill="1" applyAlignment="1">
      <alignment vertical="center"/>
    </xf>
    <xf numFmtId="0" fontId="16" fillId="4" borderId="13" xfId="0" applyFont="1" applyFill="1" applyBorder="1" applyAlignment="1">
      <alignment vertical="center"/>
    </xf>
    <xf numFmtId="0" fontId="16" fillId="4" borderId="1" xfId="0" applyFont="1" applyFill="1" applyBorder="1" applyAlignment="1">
      <alignment horizontal="center" vertical="center"/>
    </xf>
    <xf numFmtId="3" fontId="10" fillId="6" borderId="1" xfId="0" applyNumberFormat="1" applyFont="1" applyFill="1" applyBorder="1" applyAlignment="1" applyProtection="1">
      <alignment horizontal="center" vertical="center"/>
      <protection locked="0"/>
    </xf>
    <xf numFmtId="4" fontId="10" fillId="4" borderId="1" xfId="0" applyNumberFormat="1" applyFont="1" applyFill="1" applyBorder="1" applyAlignment="1">
      <alignment horizontal="center" vertical="center"/>
    </xf>
    <xf numFmtId="3" fontId="16" fillId="6" borderId="1" xfId="0" applyNumberFormat="1" applyFont="1" applyFill="1" applyBorder="1" applyAlignment="1">
      <alignment horizontal="center" vertical="center"/>
    </xf>
    <xf numFmtId="3" fontId="16" fillId="6" borderId="1" xfId="0" applyNumberFormat="1" applyFont="1" applyFill="1" applyBorder="1" applyAlignment="1" applyProtection="1">
      <alignment horizontal="center" vertical="center"/>
      <protection locked="0"/>
    </xf>
    <xf numFmtId="0" fontId="18" fillId="4" borderId="1" xfId="0" applyFont="1" applyFill="1" applyBorder="1" applyAlignment="1">
      <alignment vertical="center"/>
    </xf>
    <xf numFmtId="0" fontId="16" fillId="4" borderId="11" xfId="0" applyFont="1" applyFill="1" applyBorder="1" applyAlignment="1">
      <alignment horizontal="center" vertical="center"/>
    </xf>
    <xf numFmtId="0" fontId="16" fillId="4" borderId="16" xfId="0" applyFont="1" applyFill="1" applyBorder="1" applyAlignment="1">
      <alignment horizontal="center" vertical="center"/>
    </xf>
    <xf numFmtId="2" fontId="10" fillId="6" borderId="1" xfId="0" applyNumberFormat="1" applyFont="1" applyFill="1" applyBorder="1" applyAlignment="1" applyProtection="1">
      <alignment horizontal="center" vertical="center"/>
      <protection locked="0"/>
    </xf>
    <xf numFmtId="0" fontId="16" fillId="6" borderId="12" xfId="3" applyFont="1" applyFill="1" applyBorder="1" applyAlignment="1" applyProtection="1">
      <alignment horizontal="center" vertical="center"/>
      <protection locked="0"/>
    </xf>
    <xf numFmtId="3" fontId="16" fillId="6" borderId="6" xfId="0" applyNumberFormat="1" applyFont="1" applyFill="1" applyBorder="1" applyAlignment="1" applyProtection="1">
      <alignment horizontal="center" vertical="center"/>
      <protection locked="0"/>
    </xf>
    <xf numFmtId="1" fontId="10" fillId="0" borderId="1" xfId="0" applyNumberFormat="1" applyFont="1" applyBorder="1" applyAlignment="1">
      <alignment horizontal="center" vertical="center"/>
    </xf>
    <xf numFmtId="9" fontId="16" fillId="6" borderId="12" xfId="0" applyNumberFormat="1" applyFont="1" applyFill="1" applyBorder="1" applyAlignment="1" applyProtection="1">
      <alignment horizontal="center" vertical="center"/>
      <protection locked="0"/>
    </xf>
    <xf numFmtId="3" fontId="16" fillId="4" borderId="12" xfId="0" applyNumberFormat="1" applyFont="1" applyFill="1" applyBorder="1" applyAlignment="1">
      <alignment horizontal="center" vertical="center"/>
    </xf>
    <xf numFmtId="2" fontId="16" fillId="4" borderId="12" xfId="0" applyNumberFormat="1" applyFont="1" applyFill="1" applyBorder="1" applyAlignment="1">
      <alignment horizontal="center" vertical="center"/>
    </xf>
    <xf numFmtId="0" fontId="16" fillId="4" borderId="14" xfId="0" applyFont="1" applyFill="1" applyBorder="1" applyAlignment="1">
      <alignment horizontal="center" vertical="center"/>
    </xf>
    <xf numFmtId="2" fontId="10" fillId="0" borderId="1" xfId="0" applyNumberFormat="1" applyFont="1" applyBorder="1" applyAlignment="1">
      <alignment horizontal="center" vertical="center"/>
    </xf>
    <xf numFmtId="4" fontId="16" fillId="4" borderId="12" xfId="0" applyNumberFormat="1" applyFont="1" applyFill="1" applyBorder="1" applyAlignment="1">
      <alignment horizontal="center" vertical="center"/>
    </xf>
    <xf numFmtId="168" fontId="16" fillId="4" borderId="12" xfId="0" applyNumberFormat="1" applyFont="1" applyFill="1" applyBorder="1" applyAlignment="1">
      <alignment horizontal="center" vertical="center"/>
    </xf>
    <xf numFmtId="0" fontId="16" fillId="4" borderId="1" xfId="0" applyFont="1" applyFill="1" applyBorder="1" applyAlignment="1">
      <alignment vertical="center"/>
    </xf>
    <xf numFmtId="0" fontId="16" fillId="4" borderId="0" xfId="0" applyFont="1" applyFill="1" applyAlignment="1">
      <alignment vertical="center" wrapText="1"/>
    </xf>
    <xf numFmtId="0" fontId="16" fillId="6" borderId="12" xfId="5" applyNumberFormat="1" applyFont="1" applyFill="1" applyBorder="1" applyAlignment="1" applyProtection="1">
      <alignment horizontal="center" vertical="center"/>
      <protection locked="0"/>
    </xf>
    <xf numFmtId="3" fontId="16" fillId="6" borderId="12" xfId="5" applyNumberFormat="1" applyFont="1" applyFill="1" applyBorder="1" applyAlignment="1" applyProtection="1">
      <alignment horizontal="center" vertical="center"/>
      <protection locked="0"/>
    </xf>
    <xf numFmtId="3" fontId="16" fillId="6" borderId="12" xfId="0" applyNumberFormat="1" applyFont="1" applyFill="1" applyBorder="1" applyAlignment="1" applyProtection="1">
      <alignment horizontal="center" vertical="center"/>
      <protection locked="0"/>
    </xf>
    <xf numFmtId="3" fontId="16" fillId="6" borderId="1" xfId="5" applyNumberFormat="1" applyFont="1" applyFill="1" applyBorder="1" applyAlignment="1" applyProtection="1">
      <alignment horizontal="center" vertical="center"/>
      <protection locked="0"/>
    </xf>
    <xf numFmtId="0" fontId="16" fillId="4" borderId="0" xfId="0" applyFont="1" applyFill="1" applyAlignment="1">
      <alignment horizontal="left" vertical="center" wrapText="1"/>
    </xf>
    <xf numFmtId="0" fontId="10" fillId="4" borderId="6" xfId="0" applyFont="1" applyFill="1" applyBorder="1" applyAlignment="1">
      <alignment vertical="center"/>
    </xf>
    <xf numFmtId="0" fontId="20" fillId="0" borderId="1" xfId="0" applyFont="1" applyBorder="1" applyAlignment="1">
      <alignment horizontal="center" vertical="center" wrapText="1"/>
    </xf>
    <xf numFmtId="0" fontId="23" fillId="0" borderId="0" xfId="0" applyFont="1" applyAlignment="1">
      <alignment horizontal="left"/>
    </xf>
    <xf numFmtId="0" fontId="10" fillId="0" borderId="0" xfId="0" applyFont="1" applyAlignment="1">
      <alignment horizontal="center" vertical="center"/>
    </xf>
    <xf numFmtId="0" fontId="10" fillId="0" borderId="0" xfId="0" applyFont="1"/>
    <xf numFmtId="0" fontId="12" fillId="0" borderId="0" xfId="0" applyFont="1" applyAlignment="1">
      <alignment horizontal="left" vertical="center" wrapText="1" indent="1"/>
    </xf>
    <xf numFmtId="0" fontId="24" fillId="7" borderId="35" xfId="0" applyFont="1" applyFill="1" applyBorder="1" applyAlignment="1">
      <alignment horizontal="center" vertical="center" wrapText="1"/>
    </xf>
    <xf numFmtId="0" fontId="25" fillId="8" borderId="36" xfId="0" applyFont="1" applyFill="1" applyBorder="1" applyAlignment="1">
      <alignment horizontal="center" vertical="center"/>
    </xf>
    <xf numFmtId="0" fontId="25" fillId="8" borderId="36" xfId="0" applyFont="1" applyFill="1" applyBorder="1" applyAlignment="1">
      <alignment horizontal="center" vertical="center" wrapText="1"/>
    </xf>
    <xf numFmtId="0" fontId="26" fillId="0" borderId="0" xfId="0" applyFont="1" applyAlignment="1">
      <alignment horizontal="left"/>
    </xf>
    <xf numFmtId="0" fontId="10" fillId="4" borderId="10" xfId="0" applyFont="1" applyFill="1" applyBorder="1" applyAlignment="1">
      <alignment vertical="center"/>
    </xf>
    <xf numFmtId="0" fontId="10" fillId="4" borderId="10" xfId="0" applyFont="1" applyFill="1" applyBorder="1" applyAlignment="1">
      <alignment horizontal="left" vertical="center" indent="7"/>
    </xf>
    <xf numFmtId="0" fontId="10" fillId="4" borderId="5" xfId="0" applyFont="1" applyFill="1" applyBorder="1" applyAlignment="1">
      <alignment horizontal="left" vertical="center" indent="7"/>
    </xf>
    <xf numFmtId="0" fontId="10" fillId="4" borderId="0" xfId="0" applyFont="1" applyFill="1" applyAlignment="1">
      <alignment horizontal="left" vertical="center" indent="7"/>
    </xf>
    <xf numFmtId="0" fontId="10" fillId="4" borderId="15" xfId="0" applyFont="1" applyFill="1" applyBorder="1" applyAlignment="1">
      <alignment horizontal="left" vertical="center" indent="7"/>
    </xf>
    <xf numFmtId="0" fontId="10" fillId="4" borderId="9" xfId="0" applyFont="1" applyFill="1" applyBorder="1" applyAlignment="1">
      <alignment horizontal="left" vertical="center" indent="7"/>
    </xf>
    <xf numFmtId="0" fontId="10" fillId="4" borderId="3" xfId="0" applyFont="1" applyFill="1" applyBorder="1" applyAlignment="1">
      <alignment horizontal="left" vertical="center" indent="7"/>
    </xf>
    <xf numFmtId="9" fontId="16" fillId="4" borderId="5" xfId="0" applyNumberFormat="1" applyFont="1" applyFill="1" applyBorder="1" applyAlignment="1">
      <alignment horizontal="center" vertical="center"/>
    </xf>
    <xf numFmtId="9" fontId="16" fillId="4" borderId="3" xfId="0" applyNumberFormat="1" applyFont="1" applyFill="1" applyBorder="1" applyAlignment="1">
      <alignment horizontal="center" vertical="center"/>
    </xf>
    <xf numFmtId="0" fontId="12" fillId="4" borderId="13" xfId="0" applyFont="1" applyFill="1" applyBorder="1" applyAlignment="1">
      <alignment horizontal="center" wrapText="1"/>
    </xf>
    <xf numFmtId="0" fontId="12" fillId="4" borderId="6" xfId="0" applyFont="1" applyFill="1" applyBorder="1" applyAlignment="1">
      <alignment horizontal="center" wrapText="1"/>
    </xf>
    <xf numFmtId="9" fontId="10" fillId="4" borderId="1" xfId="2" applyFont="1" applyFill="1" applyBorder="1" applyAlignment="1" applyProtection="1">
      <alignment horizontal="center" vertical="center"/>
    </xf>
    <xf numFmtId="0" fontId="12" fillId="4" borderId="10" xfId="0" applyFont="1" applyFill="1" applyBorder="1" applyAlignment="1">
      <alignment horizontal="right" vertical="center"/>
    </xf>
    <xf numFmtId="0" fontId="12" fillId="4" borderId="5" xfId="0" applyFont="1" applyFill="1" applyBorder="1" applyAlignment="1">
      <alignment horizontal="right" vertical="center"/>
    </xf>
    <xf numFmtId="0" fontId="12" fillId="4" borderId="0" xfId="0" applyFont="1" applyFill="1" applyAlignment="1">
      <alignment horizontal="right" vertical="center"/>
    </xf>
    <xf numFmtId="0" fontId="12" fillId="4" borderId="15" xfId="0" applyFont="1" applyFill="1" applyBorder="1" applyAlignment="1">
      <alignment horizontal="right" vertical="center"/>
    </xf>
    <xf numFmtId="3" fontId="10" fillId="6" borderId="16" xfId="0" applyNumberFormat="1" applyFont="1" applyFill="1" applyBorder="1" applyAlignment="1" applyProtection="1">
      <alignment horizontal="center" vertical="center"/>
      <protection locked="0"/>
    </xf>
    <xf numFmtId="3" fontId="10" fillId="6" borderId="12" xfId="0" applyNumberFormat="1" applyFont="1" applyFill="1" applyBorder="1" applyAlignment="1" applyProtection="1">
      <alignment horizontal="center" vertical="center"/>
      <protection locked="0"/>
    </xf>
    <xf numFmtId="2" fontId="10" fillId="4" borderId="16"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xf>
    <xf numFmtId="0" fontId="10" fillId="4" borderId="0" xfId="0" applyFont="1" applyFill="1" applyAlignment="1">
      <alignment vertical="center" wrapText="1"/>
    </xf>
    <xf numFmtId="0" fontId="15" fillId="4" borderId="1" xfId="0" applyFont="1" applyFill="1" applyBorder="1" applyAlignment="1">
      <alignment horizontal="left" vertical="center" wrapText="1"/>
    </xf>
    <xf numFmtId="2" fontId="10" fillId="0" borderId="16" xfId="0" applyNumberFormat="1" applyFont="1" applyBorder="1" applyAlignment="1">
      <alignment horizontal="center" vertical="center"/>
    </xf>
    <xf numFmtId="2" fontId="10" fillId="0" borderId="12" xfId="0" applyNumberFormat="1" applyFont="1" applyBorder="1" applyAlignment="1">
      <alignment horizontal="center" vertical="center"/>
    </xf>
    <xf numFmtId="3" fontId="10" fillId="0" borderId="16" xfId="0" applyNumberFormat="1" applyFont="1" applyBorder="1" applyAlignment="1">
      <alignment horizontal="center" vertical="center"/>
    </xf>
    <xf numFmtId="3" fontId="10" fillId="0" borderId="12" xfId="0" applyNumberFormat="1" applyFont="1" applyBorder="1" applyAlignment="1">
      <alignment horizontal="center" vertical="center"/>
    </xf>
    <xf numFmtId="166" fontId="10" fillId="2" borderId="2" xfId="2" applyNumberFormat="1" applyFont="1" applyFill="1" applyBorder="1" applyAlignment="1" applyProtection="1">
      <alignment horizontal="center" vertical="center"/>
    </xf>
    <xf numFmtId="166" fontId="10" fillId="2" borderId="8" xfId="2" applyNumberFormat="1" applyFont="1" applyFill="1" applyBorder="1" applyAlignment="1" applyProtection="1">
      <alignment horizontal="center" vertical="center"/>
    </xf>
    <xf numFmtId="0" fontId="12" fillId="4" borderId="13"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4" xfId="0" applyFont="1" applyFill="1" applyBorder="1" applyAlignment="1">
      <alignment horizontal="center" vertical="center" textRotation="90"/>
    </xf>
    <xf numFmtId="0" fontId="12" fillId="4" borderId="13" xfId="0" applyFont="1" applyFill="1" applyBorder="1" applyAlignment="1">
      <alignment horizontal="center" vertical="center" textRotation="90"/>
    </xf>
    <xf numFmtId="0" fontId="12" fillId="4" borderId="6" xfId="0" applyFont="1" applyFill="1" applyBorder="1" applyAlignment="1">
      <alignment horizontal="center" vertical="center" textRotation="90"/>
    </xf>
    <xf numFmtId="0" fontId="10" fillId="4" borderId="10" xfId="0" applyFont="1" applyFill="1" applyBorder="1" applyAlignment="1">
      <alignment horizontal="left" vertical="center"/>
    </xf>
    <xf numFmtId="0" fontId="10" fillId="4" borderId="0" xfId="0" applyFont="1" applyFill="1" applyAlignment="1">
      <alignment horizontal="left" vertical="center"/>
    </xf>
    <xf numFmtId="0" fontId="10" fillId="4" borderId="10" xfId="0" applyFont="1" applyFill="1" applyBorder="1" applyAlignment="1">
      <alignment vertical="center"/>
    </xf>
    <xf numFmtId="0" fontId="10" fillId="4" borderId="5" xfId="0" applyFont="1" applyFill="1" applyBorder="1" applyAlignment="1">
      <alignment vertical="center"/>
    </xf>
    <xf numFmtId="0" fontId="10" fillId="4" borderId="0" xfId="0" applyFont="1" applyFill="1" applyAlignment="1">
      <alignment vertical="center"/>
    </xf>
    <xf numFmtId="0" fontId="10" fillId="4" borderId="15" xfId="0" applyFont="1" applyFill="1" applyBorder="1" applyAlignment="1">
      <alignment vertical="center"/>
    </xf>
    <xf numFmtId="0" fontId="10" fillId="4" borderId="15" xfId="0" applyFont="1" applyFill="1" applyBorder="1" applyAlignment="1">
      <alignment horizontal="left" vertical="center"/>
    </xf>
    <xf numFmtId="0" fontId="14" fillId="4" borderId="1" xfId="0" applyFont="1" applyFill="1" applyBorder="1" applyAlignment="1">
      <alignment horizontal="center" vertical="center" wrapText="1"/>
    </xf>
    <xf numFmtId="0" fontId="10" fillId="6" borderId="2" xfId="0" applyFont="1" applyFill="1" applyBorder="1" applyAlignment="1" applyProtection="1">
      <alignment horizontal="center" vertical="center"/>
      <protection locked="0"/>
    </xf>
    <xf numFmtId="0" fontId="10" fillId="6" borderId="8" xfId="0" applyFont="1" applyFill="1" applyBorder="1" applyAlignment="1" applyProtection="1">
      <alignment horizontal="center" vertical="center"/>
      <protection locked="0"/>
    </xf>
    <xf numFmtId="0" fontId="12" fillId="4" borderId="1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0" fillId="4" borderId="9" xfId="0" applyFont="1" applyFill="1" applyBorder="1" applyAlignment="1">
      <alignment horizontal="right" vertical="center"/>
    </xf>
    <xf numFmtId="0" fontId="10" fillId="4" borderId="3" xfId="0" applyFont="1" applyFill="1" applyBorder="1" applyAlignment="1">
      <alignment horizontal="right" vertical="center"/>
    </xf>
    <xf numFmtId="0" fontId="10" fillId="4" borderId="7" xfId="0" applyFont="1" applyFill="1" applyBorder="1" applyAlignment="1">
      <alignment horizontal="right" vertical="center"/>
    </xf>
    <xf numFmtId="0" fontId="10" fillId="4" borderId="8" xfId="0" applyFont="1" applyFill="1" applyBorder="1" applyAlignment="1">
      <alignment horizontal="right" vertical="center"/>
    </xf>
    <xf numFmtId="0" fontId="10" fillId="4" borderId="5" xfId="0" applyFont="1" applyFill="1" applyBorder="1" applyAlignment="1">
      <alignment horizontal="left" vertical="center"/>
    </xf>
    <xf numFmtId="3" fontId="10" fillId="4" borderId="0" xfId="0" applyNumberFormat="1" applyFont="1" applyFill="1" applyAlignment="1">
      <alignment horizontal="left" vertical="center"/>
    </xf>
    <xf numFmtId="3" fontId="10" fillId="4" borderId="15" xfId="0" applyNumberFormat="1" applyFont="1" applyFill="1" applyBorder="1" applyAlignment="1">
      <alignment horizontal="left" vertical="center"/>
    </xf>
    <xf numFmtId="0" fontId="10" fillId="4" borderId="9" xfId="0" applyFont="1" applyFill="1" applyBorder="1" applyAlignment="1">
      <alignment horizontal="left" vertical="center"/>
    </xf>
    <xf numFmtId="0" fontId="10" fillId="4" borderId="3" xfId="0" applyFont="1" applyFill="1" applyBorder="1" applyAlignment="1">
      <alignment horizontal="left" vertical="center"/>
    </xf>
    <xf numFmtId="0" fontId="10" fillId="4" borderId="10"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10" xfId="0" applyFont="1" applyFill="1" applyBorder="1" applyAlignment="1">
      <alignment horizontal="right" vertical="center"/>
    </xf>
    <xf numFmtId="0" fontId="10" fillId="4" borderId="5" xfId="0" applyFont="1" applyFill="1" applyBorder="1" applyAlignment="1">
      <alignment horizontal="right" vertical="center"/>
    </xf>
    <xf numFmtId="0" fontId="10" fillId="4" borderId="9" xfId="0" applyFont="1" applyFill="1" applyBorder="1" applyAlignment="1">
      <alignment vertical="center"/>
    </xf>
    <xf numFmtId="0" fontId="10" fillId="4" borderId="3" xfId="0" applyFont="1" applyFill="1" applyBorder="1" applyAlignment="1">
      <alignment vertical="center"/>
    </xf>
    <xf numFmtId="0" fontId="10" fillId="4" borderId="1" xfId="0" applyFont="1" applyFill="1" applyBorder="1" applyAlignment="1">
      <alignment horizontal="right" vertical="center"/>
    </xf>
    <xf numFmtId="0" fontId="10" fillId="4" borderId="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4" fillId="4" borderId="2" xfId="0" applyFont="1" applyFill="1" applyBorder="1" applyAlignment="1">
      <alignment horizontal="left" vertical="center"/>
    </xf>
    <xf numFmtId="0" fontId="14" fillId="4" borderId="7" xfId="0" applyFont="1" applyFill="1" applyBorder="1" applyAlignment="1">
      <alignment horizontal="left" vertical="center"/>
    </xf>
    <xf numFmtId="0" fontId="14" fillId="4" borderId="8" xfId="0" applyFont="1" applyFill="1" applyBorder="1" applyAlignment="1">
      <alignment horizontal="left" vertical="center"/>
    </xf>
    <xf numFmtId="164" fontId="10" fillId="6" borderId="31" xfId="0" applyNumberFormat="1" applyFont="1" applyFill="1" applyBorder="1" applyAlignment="1" applyProtection="1">
      <alignment horizontal="center" vertical="center"/>
      <protection locked="0"/>
    </xf>
    <xf numFmtId="164" fontId="10" fillId="6" borderId="32" xfId="0" applyNumberFormat="1" applyFont="1" applyFill="1" applyBorder="1" applyAlignment="1" applyProtection="1">
      <alignment horizontal="center" vertical="center"/>
      <protection locked="0"/>
    </xf>
    <xf numFmtId="0" fontId="10" fillId="4" borderId="25" xfId="0" applyFont="1" applyFill="1" applyBorder="1" applyAlignment="1">
      <alignment horizontal="center" vertical="center"/>
    </xf>
    <xf numFmtId="0" fontId="10" fillId="4" borderId="26" xfId="0" applyFont="1" applyFill="1" applyBorder="1" applyAlignment="1">
      <alignment horizontal="center" vertical="center"/>
    </xf>
    <xf numFmtId="2" fontId="10" fillId="6" borderId="31" xfId="0" applyNumberFormat="1" applyFont="1" applyFill="1" applyBorder="1" applyAlignment="1" applyProtection="1">
      <alignment horizontal="center" vertical="center"/>
      <protection locked="0"/>
    </xf>
    <xf numFmtId="2" fontId="10" fillId="6" borderId="32" xfId="0" applyNumberFormat="1" applyFont="1" applyFill="1" applyBorder="1" applyAlignment="1" applyProtection="1">
      <alignment horizontal="center" vertical="center"/>
      <protection locked="0"/>
    </xf>
    <xf numFmtId="0" fontId="16" fillId="4" borderId="1"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0" fillId="4" borderId="1" xfId="0" applyFont="1" applyFill="1" applyBorder="1" applyAlignment="1">
      <alignment horizontal="left" vertical="center"/>
    </xf>
    <xf numFmtId="0" fontId="10" fillId="6" borderId="1" xfId="0" applyFont="1" applyFill="1" applyBorder="1" applyAlignment="1" applyProtection="1">
      <alignment horizontal="center" vertical="center"/>
      <protection locked="0"/>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6" fillId="4" borderId="1" xfId="0" applyFont="1" applyFill="1" applyBorder="1" applyAlignment="1">
      <alignment horizontal="left" vertical="center"/>
    </xf>
    <xf numFmtId="0" fontId="12" fillId="0" borderId="34" xfId="0" applyFont="1" applyBorder="1" applyAlignment="1">
      <alignment horizontal="left" vertical="center" wrapText="1" indent="1"/>
    </xf>
    <xf numFmtId="0" fontId="2" fillId="2" borderId="13" xfId="0" applyFont="1" applyFill="1" applyBorder="1" applyAlignment="1">
      <alignment horizontal="center"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3" borderId="0" xfId="0" applyFont="1" applyFill="1" applyAlignment="1">
      <alignment horizontal="center"/>
    </xf>
    <xf numFmtId="0" fontId="2" fillId="3" borderId="15" xfId="0" applyFont="1" applyFill="1" applyBorder="1" applyAlignment="1">
      <alignment horizontal="center"/>
    </xf>
    <xf numFmtId="0" fontId="2" fillId="2" borderId="0" xfId="0" applyFont="1" applyFill="1" applyAlignment="1">
      <alignment horizontal="center"/>
    </xf>
    <xf numFmtId="0" fontId="2" fillId="2" borderId="15" xfId="0" applyFont="1" applyFill="1" applyBorder="1" applyAlignment="1">
      <alignment horizontal="center"/>
    </xf>
    <xf numFmtId="0" fontId="2" fillId="2" borderId="22" xfId="0" applyFont="1" applyFill="1" applyBorder="1" applyAlignment="1">
      <alignment horizontal="right"/>
    </xf>
    <xf numFmtId="0" fontId="2" fillId="2" borderId="0" xfId="0" applyFont="1" applyFill="1" applyAlignment="1">
      <alignment horizontal="right"/>
    </xf>
    <xf numFmtId="0" fontId="2" fillId="2" borderId="9" xfId="0" applyFont="1" applyFill="1" applyBorder="1" applyAlignment="1">
      <alignment horizontal="center"/>
    </xf>
    <xf numFmtId="0" fontId="2" fillId="2" borderId="3" xfId="0" applyFont="1" applyFill="1" applyBorder="1" applyAlignment="1">
      <alignment horizontal="center"/>
    </xf>
    <xf numFmtId="0" fontId="2" fillId="2" borderId="10" xfId="0" applyFont="1" applyFill="1" applyBorder="1" applyAlignment="1">
      <alignment horizontal="center"/>
    </xf>
    <xf numFmtId="0" fontId="2" fillId="2" borderId="5" xfId="0" applyFont="1" applyFill="1" applyBorder="1" applyAlignment="1">
      <alignment horizontal="center"/>
    </xf>
    <xf numFmtId="0" fontId="2" fillId="2" borderId="0" xfId="0" applyFont="1" applyFill="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2" fillId="2" borderId="27" xfId="0" applyFont="1" applyFill="1" applyBorder="1" applyAlignment="1">
      <alignment horizontal="right"/>
    </xf>
    <xf numFmtId="0" fontId="2" fillId="2" borderId="9" xfId="0" applyFont="1" applyFill="1" applyBorder="1" applyAlignment="1">
      <alignment horizontal="right"/>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2" fillId="2" borderId="29" xfId="0" applyFont="1" applyFill="1" applyBorder="1" applyAlignment="1">
      <alignment horizontal="right"/>
    </xf>
    <xf numFmtId="0" fontId="2" fillId="2" borderId="10" xfId="0" applyFont="1" applyFill="1" applyBorder="1" applyAlignment="1">
      <alignment horizontal="right"/>
    </xf>
    <xf numFmtId="0" fontId="1" fillId="2" borderId="5" xfId="0" applyFont="1" applyFill="1" applyBorder="1" applyAlignment="1">
      <alignment horizontal="center" vertical="center"/>
    </xf>
    <xf numFmtId="0" fontId="2" fillId="2" borderId="13" xfId="0" applyFont="1" applyFill="1" applyBorder="1" applyAlignment="1">
      <alignment horizontal="center" vertical="center" wrapText="1"/>
    </xf>
    <xf numFmtId="0" fontId="1" fillId="2" borderId="22"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0" fillId="4" borderId="0" xfId="0" applyFont="1" applyFill="1" applyAlignment="1">
      <alignment horizontal="left" vertical="top" wrapText="1"/>
    </xf>
    <xf numFmtId="0" fontId="10" fillId="4" borderId="15" xfId="0" applyFont="1" applyFill="1" applyBorder="1" applyAlignment="1">
      <alignment horizontal="left" vertical="top" wrapText="1"/>
    </xf>
    <xf numFmtId="0" fontId="10" fillId="4" borderId="15" xfId="0" applyFont="1" applyFill="1" applyBorder="1" applyAlignment="1">
      <alignment vertical="center" wrapText="1"/>
    </xf>
    <xf numFmtId="0" fontId="27" fillId="4" borderId="0" xfId="0" applyFont="1" applyFill="1" applyAlignment="1">
      <alignment vertical="center" wrapText="1"/>
    </xf>
    <xf numFmtId="0" fontId="10" fillId="4" borderId="13"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4" fillId="4" borderId="2"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8" xfId="0" applyFont="1" applyFill="1" applyBorder="1" applyAlignment="1">
      <alignment horizontal="center" vertical="center" wrapText="1"/>
    </xf>
  </cellXfs>
  <cellStyles count="6">
    <cellStyle name="Comma" xfId="1" builtinId="3"/>
    <cellStyle name="Hyperlink" xfId="5" builtinId="8"/>
    <cellStyle name="Normal" xfId="0" builtinId="0"/>
    <cellStyle name="Normal 2" xfId="4" xr:uid="{0719E15E-3AA5-4128-BB72-77C3DCEE2441}"/>
    <cellStyle name="Normal 5" xfId="3" xr:uid="{00000000-0005-0000-0000-000002000000}"/>
    <cellStyle name="Per cent" xfId="2" builtinId="5"/>
  </cellStyles>
  <dxfs count="29">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3" formatCode="#,##0"/>
    </dxf>
    <dxf>
      <numFmt numFmtId="3" formatCode="#,##0"/>
    </dxf>
    <dxf>
      <fill>
        <patternFill patternType="none">
          <bgColor auto="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patternType="none">
          <bgColor auto="1"/>
        </patternFill>
      </fill>
    </dxf>
    <dxf>
      <font>
        <color auto="1"/>
      </font>
      <fill>
        <patternFill>
          <bgColor rgb="FF92D050"/>
        </patternFill>
      </fill>
    </dxf>
    <dxf>
      <font>
        <color auto="1"/>
      </font>
      <fill>
        <patternFill>
          <bgColor rgb="FFFF5050"/>
        </patternFill>
      </fill>
    </dxf>
    <dxf>
      <fill>
        <patternFill>
          <bgColor rgb="FFFF0000"/>
        </patternFill>
      </fill>
    </dxf>
    <dxf>
      <fill>
        <patternFill>
          <bgColor rgb="FF92D050"/>
        </patternFill>
      </fill>
    </dxf>
    <dxf>
      <numFmt numFmtId="164" formatCode="0.0"/>
    </dxf>
    <dxf>
      <numFmt numFmtId="164" formatCode="0.0"/>
    </dxf>
    <dxf>
      <numFmt numFmtId="2" formatCode="0.00"/>
    </dxf>
  </dxfs>
  <tableStyles count="0" defaultTableStyle="TableStyleMedium2" defaultPivotStyle="PivotStyleLight16"/>
  <colors>
    <mruColors>
      <color rgb="FFFFCCFF"/>
      <color rgb="FFFA64C8"/>
      <color rgb="FF339933"/>
      <color rgb="FF33CC33"/>
      <color rgb="FFFF5050"/>
      <color rgb="FF0033A1"/>
      <color rgb="FF3155A4"/>
      <color rgb="FF33ADF4"/>
      <color rgb="FF00CC66"/>
      <color rgb="FFFFFB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5637204754293358"/>
          <c:y val="0.23976971980898684"/>
        </c:manualLayout>
      </c:layout>
      <c:overlay val="0"/>
      <c:spPr>
        <a:noFill/>
        <a:ln>
          <a:noFill/>
        </a:ln>
        <a:effectLst/>
      </c:spPr>
      <c:txPr>
        <a:bodyPr rot="0" spcFirstLastPara="1" vertOverflow="ellipsis" vert="horz" wrap="square" anchor="ctr" anchorCtr="1"/>
        <a:lstStyle/>
        <a:p>
          <a:pPr>
            <a:defRPr sz="168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0.1793518929792576"/>
          <c:y val="0.16231171209984399"/>
          <c:w val="0.6720980475427516"/>
          <c:h val="0.55766325788651683"/>
        </c:manualLayout>
      </c:layout>
      <c:pieChart>
        <c:varyColors val="1"/>
        <c:ser>
          <c:idx val="0"/>
          <c:order val="0"/>
          <c:tx>
            <c:strRef>
              <c:f>'Financial Sustainability Work'!$G$59:$G$59</c:f>
              <c:strCache>
                <c:ptCount val="1"/>
              </c:strCache>
            </c:strRef>
          </c:tx>
          <c:dPt>
            <c:idx val="0"/>
            <c:bubble3D val="0"/>
            <c:spPr>
              <a:solidFill>
                <a:srgbClr val="00CC66"/>
              </a:solidFill>
              <a:ln>
                <a:noFill/>
              </a:ln>
              <a:effectLst/>
            </c:spPr>
            <c:extLst>
              <c:ext xmlns:c16="http://schemas.microsoft.com/office/drawing/2014/chart" uri="{C3380CC4-5D6E-409C-BE32-E72D297353CC}">
                <c16:uniqueId val="{00000001-0105-4D0B-BE73-C41704D6E037}"/>
              </c:ext>
            </c:extLst>
          </c:dPt>
          <c:dPt>
            <c:idx val="1"/>
            <c:bubble3D val="0"/>
            <c:spPr>
              <a:solidFill>
                <a:schemeClr val="accent2"/>
              </a:solidFill>
              <a:ln>
                <a:noFill/>
              </a:ln>
              <a:effectLst/>
            </c:spPr>
            <c:extLst>
              <c:ext xmlns:c16="http://schemas.microsoft.com/office/drawing/2014/chart" uri="{C3380CC4-5D6E-409C-BE32-E72D297353CC}">
                <c16:uniqueId val="{00000015-9945-43D8-90DC-26B0C221A8B3}"/>
              </c:ext>
            </c:extLst>
          </c:dPt>
          <c:dPt>
            <c:idx val="2"/>
            <c:bubble3D val="0"/>
            <c:spPr>
              <a:solidFill>
                <a:srgbClr val="944BBB"/>
              </a:solidFill>
              <a:ln>
                <a:noFill/>
              </a:ln>
              <a:effectLst/>
            </c:spPr>
            <c:extLst>
              <c:ext xmlns:c16="http://schemas.microsoft.com/office/drawing/2014/chart" uri="{C3380CC4-5D6E-409C-BE32-E72D297353CC}">
                <c16:uniqueId val="{00000003-0105-4D0B-BE73-C41704D6E037}"/>
              </c:ext>
            </c:extLst>
          </c:dPt>
          <c:dPt>
            <c:idx val="3"/>
            <c:bubble3D val="0"/>
            <c:spPr>
              <a:solidFill>
                <a:srgbClr val="33ADF4"/>
              </a:solidFill>
              <a:ln>
                <a:noFill/>
              </a:ln>
              <a:effectLst/>
            </c:spPr>
            <c:extLst>
              <c:ext xmlns:c16="http://schemas.microsoft.com/office/drawing/2014/chart" uri="{C3380CC4-5D6E-409C-BE32-E72D297353CC}">
                <c16:uniqueId val="{00000005-0105-4D0B-BE73-C41704D6E037}"/>
              </c:ext>
            </c:extLst>
          </c:dPt>
          <c:dPt>
            <c:idx val="4"/>
            <c:bubble3D val="0"/>
            <c:spPr>
              <a:solidFill>
                <a:srgbClr val="FFCCFF"/>
              </a:solidFill>
              <a:ln>
                <a:noFill/>
              </a:ln>
              <a:effectLst/>
            </c:spPr>
            <c:extLst>
              <c:ext xmlns:c16="http://schemas.microsoft.com/office/drawing/2014/chart" uri="{C3380CC4-5D6E-409C-BE32-E72D297353CC}">
                <c16:uniqueId val="{00000009-0105-4D0B-BE73-C41704D6E037}"/>
              </c:ext>
            </c:extLst>
          </c:dPt>
          <c:dPt>
            <c:idx val="5"/>
            <c:bubble3D val="0"/>
            <c:spPr>
              <a:solidFill>
                <a:schemeClr val="accent6"/>
              </a:solidFill>
              <a:ln>
                <a:noFill/>
              </a:ln>
              <a:effectLst/>
            </c:spPr>
            <c:extLst>
              <c:ext xmlns:c16="http://schemas.microsoft.com/office/drawing/2014/chart" uri="{C3380CC4-5D6E-409C-BE32-E72D297353CC}">
                <c16:uniqueId val="{0000000D-0105-4D0B-BE73-C41704D6E037}"/>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1-0105-4D0B-BE73-C41704D6E037}"/>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13-0105-4D0B-BE73-C41704D6E037}"/>
              </c:ext>
            </c:extLst>
          </c:dPt>
          <c:dPt>
            <c:idx val="8"/>
            <c:bubble3D val="0"/>
            <c:spPr>
              <a:solidFill>
                <a:schemeClr val="accent3">
                  <a:lumMod val="60000"/>
                </a:schemeClr>
              </a:solidFill>
              <a:ln>
                <a:noFill/>
              </a:ln>
              <a:effectLst/>
            </c:spPr>
            <c:extLst>
              <c:ext xmlns:c16="http://schemas.microsoft.com/office/drawing/2014/chart" uri="{C3380CC4-5D6E-409C-BE32-E72D297353CC}">
                <c16:uniqueId val="{00000011-2A4A-4C37-A126-9CC23097F42C}"/>
              </c:ext>
            </c:extLst>
          </c:dPt>
          <c:dPt>
            <c:idx val="9"/>
            <c:bubble3D val="0"/>
            <c:spPr>
              <a:solidFill>
                <a:schemeClr val="accent4">
                  <a:lumMod val="60000"/>
                </a:schemeClr>
              </a:solidFill>
              <a:ln>
                <a:noFill/>
              </a:ln>
              <a:effectLst/>
            </c:spPr>
            <c:extLst>
              <c:ext xmlns:c16="http://schemas.microsoft.com/office/drawing/2014/chart" uri="{C3380CC4-5D6E-409C-BE32-E72D297353CC}">
                <c16:uniqueId val="{00000013-2A4A-4C37-A126-9CC23097F42C}"/>
              </c:ext>
            </c:extLst>
          </c:dPt>
          <c:dPt>
            <c:idx val="10"/>
            <c:bubble3D val="0"/>
            <c:spPr>
              <a:solidFill>
                <a:schemeClr val="accent5">
                  <a:lumMod val="60000"/>
                </a:schemeClr>
              </a:solidFill>
              <a:ln>
                <a:noFill/>
              </a:ln>
              <a:effectLst/>
            </c:spPr>
            <c:extLst>
              <c:ext xmlns:c16="http://schemas.microsoft.com/office/drawing/2014/chart" uri="{C3380CC4-5D6E-409C-BE32-E72D297353CC}">
                <c16:uniqueId val="{00000015-2A4A-4C37-A126-9CC23097F42C}"/>
              </c:ext>
            </c:extLst>
          </c:dPt>
          <c:dPt>
            <c:idx val="11"/>
            <c:bubble3D val="0"/>
            <c:spPr>
              <a:solidFill>
                <a:schemeClr val="accent6">
                  <a:lumMod val="60000"/>
                </a:schemeClr>
              </a:solidFill>
              <a:ln>
                <a:noFill/>
              </a:ln>
              <a:effectLst/>
            </c:spPr>
            <c:extLst>
              <c:ext xmlns:c16="http://schemas.microsoft.com/office/drawing/2014/chart" uri="{C3380CC4-5D6E-409C-BE32-E72D297353CC}">
                <c16:uniqueId val="{00000017-2A4A-4C37-A126-9CC23097F42C}"/>
              </c:ext>
            </c:extLst>
          </c:dPt>
          <c:dPt>
            <c:idx val="12"/>
            <c:bubble3D val="0"/>
            <c:spPr>
              <a:solidFill>
                <a:schemeClr val="accent1">
                  <a:lumMod val="80000"/>
                  <a:lumOff val="20000"/>
                </a:schemeClr>
              </a:solidFill>
              <a:ln>
                <a:noFill/>
              </a:ln>
              <a:effectLst/>
            </c:spPr>
            <c:extLst>
              <c:ext xmlns:c16="http://schemas.microsoft.com/office/drawing/2014/chart" uri="{C3380CC4-5D6E-409C-BE32-E72D297353CC}">
                <c16:uniqueId val="{00000019-2A4A-4C37-A126-9CC23097F42C}"/>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'Financial Sustainability Work'!$H$61:$H$73</c:f>
              <c:strCache>
                <c:ptCount val="13"/>
                <c:pt idx="0">
                  <c:v>Produits chimiques + analyses</c:v>
                </c:pt>
                <c:pt idx="2">
                  <c:v>Commissions et salaires</c:v>
                </c:pt>
                <c:pt idx="4">
                  <c:v>Coûts de l'énergie</c:v>
                </c:pt>
                <c:pt idx="6">
                  <c:v>Entretien</c:v>
                </c:pt>
                <c:pt idx="8">
                  <c:v>Autres OpEx</c:v>
                </c:pt>
                <c:pt idx="10">
                  <c:v>Visites d’assistance</c:v>
                </c:pt>
                <c:pt idx="12">
                  <c:v>Coûts de remplacement</c:v>
                </c:pt>
              </c:strCache>
            </c:strRef>
          </c:cat>
          <c:val>
            <c:numRef>
              <c:f>'Financial Sustainability Work'!$I$61:$I$73</c:f>
              <c:numCache>
                <c:formatCode>0%</c:formatCode>
                <c:ptCount val="13"/>
                <c:pt idx="0">
                  <c:v>0</c:v>
                </c:pt>
                <c:pt idx="2">
                  <c:v>0</c:v>
                </c:pt>
                <c:pt idx="4">
                  <c:v>0</c:v>
                </c:pt>
                <c:pt idx="6">
                  <c:v>0</c:v>
                </c:pt>
                <c:pt idx="8">
                  <c:v>0</c:v>
                </c:pt>
                <c:pt idx="10">
                  <c:v>0</c:v>
                </c:pt>
                <c:pt idx="12">
                  <c:v>0</c:v>
                </c:pt>
              </c:numCache>
            </c:numRef>
          </c:val>
          <c:extLst>
            <c:ext xmlns:c16="http://schemas.microsoft.com/office/drawing/2014/chart" uri="{C3380CC4-5D6E-409C-BE32-E72D297353CC}">
              <c16:uniqueId val="{00000014-0105-4D0B-BE73-C41704D6E03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5.9317151723951939E-2"/>
          <c:y val="0.74809976525600086"/>
          <c:w val="0.87854182629584376"/>
          <c:h val="0.24278201728639962"/>
        </c:manualLayout>
      </c:layout>
      <c:overlay val="0"/>
      <c:spPr>
        <a:noFill/>
        <a:ln>
          <a:noFill/>
        </a:ln>
        <a:effectLst/>
      </c:spPr>
      <c:txPr>
        <a:bodyPr rot="0" spcFirstLastPara="1" vertOverflow="ellipsis" vert="horz" wrap="square" anchor="b" anchorCtr="0"/>
        <a:lstStyle/>
        <a:p>
          <a:pPr>
            <a:defRPr sz="1000" b="0" i="0" u="none" strike="noStrike" kern="1200" baseline="0">
              <a:solidFill>
                <a:schemeClr val="tx1"/>
              </a:solidFill>
              <a:latin typeface="+mn-lt"/>
              <a:ea typeface="+mn-ea"/>
              <a:cs typeface="+mn-cs"/>
            </a:defRPr>
          </a:pPr>
          <a:endParaRPr lang="en-US"/>
        </a:p>
      </c:txPr>
    </c:legend>
    <c:plotVisOnly val="1"/>
    <c:dispBlanksAs val="zero"/>
    <c:showDLblsOverMax val="0"/>
  </c:chart>
  <c:spPr>
    <a:noFill/>
    <a:ln w="9525" cap="flat" cmpd="sng" algn="ctr">
      <a:noFill/>
      <a:prstDash val="solid"/>
      <a:round/>
    </a:ln>
    <a:effectLst/>
  </c:spPr>
  <c:txPr>
    <a:bodyPr/>
    <a:lstStyle/>
    <a:p>
      <a:pPr>
        <a:defRPr sz="1400"/>
      </a:pPr>
      <a:endParaRPr lang="en-US"/>
    </a:p>
  </c:txPr>
  <c:printSettings>
    <c:headerFooter>
      <c:oddHeader>&amp;L&amp;"-,Bold"&amp;K03+000Example Community - Safe Water Project Operational and Replacement Costs
Page 1: Financial Summary Worksheet&amp;R&amp;G</c:oddHeader>
    </c:headerFooter>
    <c:pageMargins b="0.75000000000000078" l="0.70000000000000062" r="0.70000000000000062" t="0.75000000000000078" header="0.30000000000000032" footer="0.30000000000000032"/>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114300</xdr:colOff>
      <xdr:row>0</xdr:row>
      <xdr:rowOff>0</xdr:rowOff>
    </xdr:from>
    <xdr:to>
      <xdr:col>9</xdr:col>
      <xdr:colOff>200025</xdr:colOff>
      <xdr:row>16</xdr:row>
      <xdr:rowOff>76200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78</xdr:row>
      <xdr:rowOff>133350</xdr:rowOff>
    </xdr:from>
    <xdr:to>
      <xdr:col>8</xdr:col>
      <xdr:colOff>200025</xdr:colOff>
      <xdr:row>79</xdr:row>
      <xdr:rowOff>104775</xdr:rowOff>
    </xdr:to>
    <xdr:sp macro="" textlink="">
      <xdr:nvSpPr>
        <xdr:cNvPr id="4" name="TextBox 3">
          <a:extLst>
            <a:ext uri="{FF2B5EF4-FFF2-40B4-BE49-F238E27FC236}">
              <a16:creationId xmlns:a16="http://schemas.microsoft.com/office/drawing/2014/main" id="{65AC981E-9179-EA6B-5DBA-0FDAB2D408FD}"/>
            </a:ext>
          </a:extLst>
        </xdr:cNvPr>
        <xdr:cNvSpPr txBox="1"/>
      </xdr:nvSpPr>
      <xdr:spPr>
        <a:xfrm>
          <a:off x="142875" y="14897100"/>
          <a:ext cx="75247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fr-fr" sz="800" b="0" i="1">
              <a:solidFill>
                <a:schemeClr val="dk1"/>
              </a:solidFill>
              <a:effectLst/>
              <a:latin typeface="+mn-lt"/>
              <a:ea typeface="+mn-ea"/>
              <a:cs typeface="+mn-cs"/>
            </a:rPr>
            <a:t>Copyright © Water Mission 2021 - L'utilisation de ce document implique l'acceptation des conditions d'utilisation de Water Mission, disponibles sur watermission.org/terms-of-use/.</a:t>
          </a:r>
          <a:endParaRPr lang="en-US" sz="800"/>
        </a:p>
      </xdr:txBody>
    </xdr:sp>
    <xdr:clientData/>
  </xdr:twoCellAnchor>
  <xdr:twoCellAnchor editAs="oneCell">
    <xdr:from>
      <xdr:col>7</xdr:col>
      <xdr:colOff>257175</xdr:colOff>
      <xdr:row>0</xdr:row>
      <xdr:rowOff>85725</xdr:rowOff>
    </xdr:from>
    <xdr:to>
      <xdr:col>8</xdr:col>
      <xdr:colOff>373155</xdr:colOff>
      <xdr:row>1</xdr:row>
      <xdr:rowOff>9138</xdr:rowOff>
    </xdr:to>
    <xdr:pic>
      <xdr:nvPicPr>
        <xdr:cNvPr id="5" name="Picture 4">
          <a:extLst>
            <a:ext uri="{FF2B5EF4-FFF2-40B4-BE49-F238E27FC236}">
              <a16:creationId xmlns:a16="http://schemas.microsoft.com/office/drawing/2014/main" id="{0689D93F-9BAD-46D1-B74B-E77406273640}"/>
            </a:ext>
            <a:ext uri="{147F2762-F138-4A5C-976F-8EAC2B608ADB}">
              <a16:predDERef xmlns:a16="http://schemas.microsoft.com/office/drawing/2014/main" pred="{65AC981E-9179-EA6B-5DBA-0FDAB2D408FD}"/>
            </a:ext>
          </a:extLst>
        </xdr:cNvPr>
        <xdr:cNvPicPr>
          <a:picLocks noChangeAspect="1"/>
        </xdr:cNvPicPr>
      </xdr:nvPicPr>
      <xdr:blipFill>
        <a:blip xmlns:r="http://schemas.openxmlformats.org/officeDocument/2006/relationships" r:embed="rId2"/>
        <a:stretch>
          <a:fillRect/>
        </a:stretch>
      </xdr:blipFill>
      <xdr:spPr>
        <a:xfrm>
          <a:off x="7315200" y="85725"/>
          <a:ext cx="1382805" cy="3901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20538</xdr:rowOff>
    </xdr:from>
    <xdr:to>
      <xdr:col>10</xdr:col>
      <xdr:colOff>0</xdr:colOff>
      <xdr:row>13</xdr:row>
      <xdr:rowOff>66257</xdr:rowOff>
    </xdr:to>
    <xdr:sp macro="" textlink="">
      <xdr:nvSpPr>
        <xdr:cNvPr id="7" name="Rectangle 6">
          <a:extLst>
            <a:ext uri="{FF2B5EF4-FFF2-40B4-BE49-F238E27FC236}">
              <a16:creationId xmlns:a16="http://schemas.microsoft.com/office/drawing/2014/main" id="{9A2F587D-35BF-48F1-9FC6-EFB67134F11C}"/>
            </a:ext>
          </a:extLst>
        </xdr:cNvPr>
        <xdr:cNvSpPr/>
      </xdr:nvSpPr>
      <xdr:spPr>
        <a:xfrm>
          <a:off x="33131" y="2049363"/>
          <a:ext cx="6256269"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rtl="0"/>
          <a:endParaRPr lang="en-US" sz="1100"/>
        </a:p>
      </xdr:txBody>
    </xdr:sp>
    <xdr:clientData/>
  </xdr:twoCellAnchor>
  <xdr:twoCellAnchor>
    <xdr:from>
      <xdr:col>1</xdr:col>
      <xdr:colOff>0</xdr:colOff>
      <xdr:row>31</xdr:row>
      <xdr:rowOff>56980</xdr:rowOff>
    </xdr:from>
    <xdr:to>
      <xdr:col>10</xdr:col>
      <xdr:colOff>0</xdr:colOff>
      <xdr:row>31</xdr:row>
      <xdr:rowOff>102699</xdr:rowOff>
    </xdr:to>
    <xdr:sp macro="" textlink="">
      <xdr:nvSpPr>
        <xdr:cNvPr id="8" name="Rectangle 7">
          <a:extLst>
            <a:ext uri="{FF2B5EF4-FFF2-40B4-BE49-F238E27FC236}">
              <a16:creationId xmlns:a16="http://schemas.microsoft.com/office/drawing/2014/main" id="{A188B5F4-08CC-499C-8196-B3152F712A6E}"/>
            </a:ext>
          </a:extLst>
        </xdr:cNvPr>
        <xdr:cNvSpPr/>
      </xdr:nvSpPr>
      <xdr:spPr>
        <a:xfrm>
          <a:off x="36442" y="4314655"/>
          <a:ext cx="6256269"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rtl="0"/>
          <a:endParaRPr lang="en-US" sz="1100"/>
        </a:p>
      </xdr:txBody>
    </xdr:sp>
    <xdr:clientData/>
  </xdr:twoCellAnchor>
  <xdr:twoCellAnchor>
    <xdr:from>
      <xdr:col>1</xdr:col>
      <xdr:colOff>0</xdr:colOff>
      <xdr:row>38</xdr:row>
      <xdr:rowOff>109990</xdr:rowOff>
    </xdr:from>
    <xdr:to>
      <xdr:col>10</xdr:col>
      <xdr:colOff>0</xdr:colOff>
      <xdr:row>39</xdr:row>
      <xdr:rowOff>31470</xdr:rowOff>
    </xdr:to>
    <xdr:sp macro="" textlink="">
      <xdr:nvSpPr>
        <xdr:cNvPr id="9" name="Rectangle 8">
          <a:extLst>
            <a:ext uri="{FF2B5EF4-FFF2-40B4-BE49-F238E27FC236}">
              <a16:creationId xmlns:a16="http://schemas.microsoft.com/office/drawing/2014/main" id="{BA4EC49D-BC4F-4362-9D84-D1B2C7A99038}"/>
            </a:ext>
          </a:extLst>
        </xdr:cNvPr>
        <xdr:cNvSpPr/>
      </xdr:nvSpPr>
      <xdr:spPr>
        <a:xfrm>
          <a:off x="31467" y="5729740"/>
          <a:ext cx="6256269" cy="4530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rtl="0"/>
          <a:endParaRPr lang="en-US" sz="1100"/>
        </a:p>
      </xdr:txBody>
    </xdr:sp>
    <xdr:clientData/>
  </xdr:twoCellAnchor>
  <xdr:twoCellAnchor>
    <xdr:from>
      <xdr:col>1</xdr:col>
      <xdr:colOff>0</xdr:colOff>
      <xdr:row>5</xdr:row>
      <xdr:rowOff>40418</xdr:rowOff>
    </xdr:from>
    <xdr:to>
      <xdr:col>10</xdr:col>
      <xdr:colOff>0</xdr:colOff>
      <xdr:row>5</xdr:row>
      <xdr:rowOff>86137</xdr:rowOff>
    </xdr:to>
    <xdr:sp macro="" textlink="">
      <xdr:nvSpPr>
        <xdr:cNvPr id="11" name="Rectangle 10">
          <a:extLst>
            <a:ext uri="{FF2B5EF4-FFF2-40B4-BE49-F238E27FC236}">
              <a16:creationId xmlns:a16="http://schemas.microsoft.com/office/drawing/2014/main" id="{C61767A6-71F2-47A6-8FF2-4663A50B6B08}"/>
            </a:ext>
          </a:extLst>
        </xdr:cNvPr>
        <xdr:cNvSpPr/>
      </xdr:nvSpPr>
      <xdr:spPr>
        <a:xfrm>
          <a:off x="36441" y="335693"/>
          <a:ext cx="6256269" cy="4571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rtl="0"/>
          <a:endParaRPr lang="en-US" sz="1100"/>
        </a:p>
      </xdr:txBody>
    </xdr:sp>
    <xdr:clientData/>
  </xdr:twoCellAnchor>
  <xdr:twoCellAnchor>
    <xdr:from>
      <xdr:col>1</xdr:col>
      <xdr:colOff>0</xdr:colOff>
      <xdr:row>48</xdr:row>
      <xdr:rowOff>95249</xdr:rowOff>
    </xdr:from>
    <xdr:to>
      <xdr:col>10</xdr:col>
      <xdr:colOff>0</xdr:colOff>
      <xdr:row>49</xdr:row>
      <xdr:rowOff>16730</xdr:rowOff>
    </xdr:to>
    <xdr:sp macro="" textlink="">
      <xdr:nvSpPr>
        <xdr:cNvPr id="13" name="Rectangle 12">
          <a:extLst>
            <a:ext uri="{FF2B5EF4-FFF2-40B4-BE49-F238E27FC236}">
              <a16:creationId xmlns:a16="http://schemas.microsoft.com/office/drawing/2014/main" id="{750AF50C-0CD6-4F14-B2BC-6F81F5551ED9}"/>
            </a:ext>
          </a:extLst>
        </xdr:cNvPr>
        <xdr:cNvSpPr/>
      </xdr:nvSpPr>
      <xdr:spPr>
        <a:xfrm>
          <a:off x="25978" y="6572249"/>
          <a:ext cx="6516908" cy="4270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rtl="0"/>
          <a:endParaRPr lang="en-US" sz="1100"/>
        </a:p>
      </xdr:txBody>
    </xdr:sp>
    <xdr:clientData/>
  </xdr:twoCellAnchor>
  <xdr:twoCellAnchor>
    <xdr:from>
      <xdr:col>0</xdr:col>
      <xdr:colOff>85725</xdr:colOff>
      <xdr:row>61</xdr:row>
      <xdr:rowOff>123825</xdr:rowOff>
    </xdr:from>
    <xdr:to>
      <xdr:col>8</xdr:col>
      <xdr:colOff>28575</xdr:colOff>
      <xdr:row>62</xdr:row>
      <xdr:rowOff>95250</xdr:rowOff>
    </xdr:to>
    <xdr:sp macro="" textlink="">
      <xdr:nvSpPr>
        <xdr:cNvPr id="10" name="TextBox 9">
          <a:extLst>
            <a:ext uri="{FF2B5EF4-FFF2-40B4-BE49-F238E27FC236}">
              <a16:creationId xmlns:a16="http://schemas.microsoft.com/office/drawing/2014/main" id="{3D5EB772-09F6-49AB-9B6C-C72CEE9BB663}"/>
            </a:ext>
          </a:extLst>
        </xdr:cNvPr>
        <xdr:cNvSpPr txBox="1"/>
      </xdr:nvSpPr>
      <xdr:spPr>
        <a:xfrm>
          <a:off x="85725" y="12715875"/>
          <a:ext cx="75247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fr-fr" sz="800" b="0" i="1">
              <a:solidFill>
                <a:schemeClr val="dk1"/>
              </a:solidFill>
              <a:effectLst/>
              <a:latin typeface="+mn-lt"/>
              <a:ea typeface="+mn-ea"/>
              <a:cs typeface="+mn-cs"/>
            </a:rPr>
            <a:t>Copyright © Water Mission 2021 - L'utilisation de ce document implique l'acceptation des conditions d'utilisation de Water Mission, disponibles sur watermission.org/terms-of-use/.</a:t>
          </a:r>
          <a:endParaRPr lang="en-US" sz="800"/>
        </a:p>
      </xdr:txBody>
    </xdr:sp>
    <xdr:clientData/>
  </xdr:twoCellAnchor>
  <xdr:twoCellAnchor editAs="oneCell">
    <xdr:from>
      <xdr:col>7</xdr:col>
      <xdr:colOff>257175</xdr:colOff>
      <xdr:row>0</xdr:row>
      <xdr:rowOff>85725</xdr:rowOff>
    </xdr:from>
    <xdr:to>
      <xdr:col>8</xdr:col>
      <xdr:colOff>611280</xdr:colOff>
      <xdr:row>0</xdr:row>
      <xdr:rowOff>475863</xdr:rowOff>
    </xdr:to>
    <xdr:pic>
      <xdr:nvPicPr>
        <xdr:cNvPr id="2" name="Picture 4">
          <a:extLst>
            <a:ext uri="{FF2B5EF4-FFF2-40B4-BE49-F238E27FC236}">
              <a16:creationId xmlns:a16="http://schemas.microsoft.com/office/drawing/2014/main" id="{FF5BA15B-4C77-42EB-909E-3857F6EC783B}"/>
            </a:ext>
            <a:ext uri="{147F2762-F138-4A5C-976F-8EAC2B608ADB}">
              <a16:predDERef xmlns:a16="http://schemas.microsoft.com/office/drawing/2014/main" pred="{AC0E96D6-BF6C-4FD0-AC09-74A58DC814BB}"/>
            </a:ext>
          </a:extLst>
        </xdr:cNvPr>
        <xdr:cNvPicPr>
          <a:picLocks noChangeAspect="1"/>
        </xdr:cNvPicPr>
      </xdr:nvPicPr>
      <xdr:blipFill>
        <a:blip xmlns:r="http://schemas.openxmlformats.org/officeDocument/2006/relationships" r:embed="rId1"/>
        <a:stretch>
          <a:fillRect/>
        </a:stretch>
      </xdr:blipFill>
      <xdr:spPr>
        <a:xfrm>
          <a:off x="7315200" y="85725"/>
          <a:ext cx="1382805" cy="390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295275</xdr:colOff>
      <xdr:row>1</xdr:row>
      <xdr:rowOff>304800</xdr:rowOff>
    </xdr:from>
    <xdr:to>
      <xdr:col>2</xdr:col>
      <xdr:colOff>1598255</xdr:colOff>
      <xdr:row>4</xdr:row>
      <xdr:rowOff>185494</xdr:rowOff>
    </xdr:to>
    <xdr:pic>
      <xdr:nvPicPr>
        <xdr:cNvPr id="2" name="Picture 1">
          <a:extLst>
            <a:ext uri="{FF2B5EF4-FFF2-40B4-BE49-F238E27FC236}">
              <a16:creationId xmlns:a16="http://schemas.microsoft.com/office/drawing/2014/main" id="{93BF6A3E-63A9-4C54-822D-F8A834C75EF7}"/>
            </a:ext>
          </a:extLst>
        </xdr:cNvPr>
        <xdr:cNvPicPr>
          <a:picLocks noChangeAspect="1"/>
        </xdr:cNvPicPr>
      </xdr:nvPicPr>
      <xdr:blipFill>
        <a:blip xmlns:r="http://schemas.openxmlformats.org/officeDocument/2006/relationships" r:embed="rId1"/>
        <a:stretch>
          <a:fillRect/>
        </a:stretch>
      </xdr:blipFill>
      <xdr:spPr>
        <a:xfrm>
          <a:off x="3924300" y="619125"/>
          <a:ext cx="1302980" cy="823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watermission.sharepoint.com/sites/LInitiativeTechniqueRgionaleSolaireITRS/Shared%20Documents/General/Request%20Documentation/Internal%20035/Savings%20Target%20Project/Savings%20Target%20Draft%20Appendix%205.%20Financial%20Sustainability%20Worksheet%20v10.xlsx?0E0E1701" TargetMode="External"/><Relationship Id="rId1" Type="http://schemas.openxmlformats.org/officeDocument/2006/relationships/externalLinkPath" Target="file:///\\0E0E1701\Savings%20Target%20Draft%20Appendix%205.%20Financial%20Sustainability%20Worksheet%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inancial Summary Worksheet"/>
      <sheetName val="Average Inflation Rates"/>
      <sheetName val="Operational Costs (OpEx)"/>
      <sheetName val=" Capital Costs (CapEx)"/>
      <sheetName val="Repair+Replacement Costs"/>
      <sheetName val="Price Increase Schedule"/>
      <sheetName val="Financial Sustainability Plan"/>
      <sheetName val="Breakeven Analysis"/>
      <sheetName val="Revenue Analysis"/>
      <sheetName val="Data for Pie Chart"/>
      <sheetName val="Reference"/>
      <sheetName val="Cash Flow Vi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3"/>
  <sheetViews>
    <sheetView topLeftCell="A39" zoomScaleNormal="100" zoomScaleSheetLayoutView="90" zoomScalePageLayoutView="130" workbookViewId="0">
      <selection activeCell="AF56" sqref="AF56"/>
    </sheetView>
  </sheetViews>
  <sheetFormatPr defaultColWidth="4" defaultRowHeight="15"/>
  <cols>
    <col min="1" max="1" width="3.42578125" style="147" customWidth="1"/>
    <col min="2" max="2" width="41.42578125" style="147" customWidth="1"/>
    <col min="3" max="3" width="11.42578125" style="147" bestFit="1" customWidth="1"/>
    <col min="4" max="4" width="21.85546875" style="147" customWidth="1"/>
    <col min="5" max="5" width="12.140625" style="147" bestFit="1" customWidth="1"/>
    <col min="6" max="7" width="11.140625" style="147" customWidth="1"/>
    <col min="8" max="8" width="19" style="147" customWidth="1"/>
    <col min="9" max="9" width="12.140625" style="147" customWidth="1"/>
    <col min="10" max="10" width="3.42578125" style="147" customWidth="1"/>
    <col min="11" max="16384" width="4" style="117"/>
  </cols>
  <sheetData>
    <row r="1" spans="1:35" ht="36.75" customHeight="1">
      <c r="A1" s="115"/>
      <c r="B1" s="266" t="s">
        <v>0</v>
      </c>
      <c r="C1" s="266"/>
      <c r="D1" s="266"/>
      <c r="E1" s="266"/>
      <c r="F1" s="266"/>
      <c r="G1" s="266"/>
      <c r="H1" s="266"/>
      <c r="I1" s="266"/>
      <c r="J1" s="116"/>
    </row>
    <row r="2" spans="1:35" ht="15" customHeight="1">
      <c r="A2" s="118"/>
      <c r="B2" s="119"/>
      <c r="C2" s="119"/>
      <c r="D2" s="119"/>
      <c r="E2" s="119"/>
      <c r="F2" s="119"/>
      <c r="G2" s="119"/>
      <c r="H2" s="119"/>
      <c r="I2" s="119"/>
      <c r="J2" s="120"/>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row>
    <row r="3" spans="1:35" ht="15" customHeight="1">
      <c r="A3" s="122" t="s">
        <v>1</v>
      </c>
      <c r="B3" s="123"/>
      <c r="C3" s="123"/>
      <c r="D3" s="124" t="s">
        <v>2</v>
      </c>
      <c r="E3" s="124" t="s">
        <v>3</v>
      </c>
      <c r="F3" s="119"/>
      <c r="G3" s="119"/>
      <c r="H3" s="119"/>
      <c r="I3" s="119"/>
      <c r="J3" s="120"/>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row>
    <row r="4" spans="1:35" ht="15" customHeight="1">
      <c r="A4" s="118"/>
      <c r="B4" s="267" t="s">
        <v>4</v>
      </c>
      <c r="C4" s="125"/>
      <c r="D4" s="118" t="s">
        <v>5</v>
      </c>
      <c r="E4" s="126"/>
      <c r="F4" s="119"/>
      <c r="G4" s="119"/>
      <c r="H4" s="119"/>
      <c r="I4" s="119"/>
      <c r="J4" s="120"/>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ht="15" customHeight="1">
      <c r="A5" s="118"/>
      <c r="B5" s="304" t="s">
        <v>6</v>
      </c>
      <c r="C5" s="305"/>
      <c r="D5" s="118" t="s">
        <v>7</v>
      </c>
      <c r="E5" s="129"/>
      <c r="F5" s="119"/>
      <c r="G5" s="119"/>
      <c r="H5" s="119"/>
      <c r="I5" s="119"/>
      <c r="J5" s="120"/>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row>
    <row r="6" spans="1:35" ht="15" customHeight="1">
      <c r="A6" s="118"/>
      <c r="B6" s="304" t="s">
        <v>8</v>
      </c>
      <c r="C6" s="305"/>
      <c r="D6" s="130" t="s">
        <v>7</v>
      </c>
      <c r="E6" s="131">
        <f>E4*E5</f>
        <v>0</v>
      </c>
      <c r="F6" s="119"/>
      <c r="G6" s="119"/>
      <c r="H6" s="119"/>
      <c r="I6" s="119"/>
      <c r="J6" s="120"/>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row>
    <row r="7" spans="1:35" ht="50.25" customHeight="1">
      <c r="A7" s="118"/>
      <c r="B7" s="396" t="s">
        <v>9</v>
      </c>
      <c r="C7" s="397"/>
      <c r="D7" s="118" t="s">
        <v>7</v>
      </c>
      <c r="E7" s="129"/>
      <c r="F7" s="119"/>
      <c r="G7" s="119"/>
      <c r="H7" s="119"/>
      <c r="I7" s="119"/>
      <c r="J7" s="120"/>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row>
    <row r="8" spans="1:35" ht="29.25" customHeight="1">
      <c r="A8" s="118"/>
      <c r="B8" s="399" t="s">
        <v>10</v>
      </c>
      <c r="C8" s="287"/>
      <c r="D8" s="398"/>
      <c r="E8" s="132" t="s">
        <v>11</v>
      </c>
      <c r="F8" s="119"/>
      <c r="G8" s="119"/>
      <c r="H8" s="119"/>
      <c r="I8" s="119"/>
      <c r="J8" s="120"/>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row>
    <row r="9" spans="1:35" ht="15" customHeight="1">
      <c r="A9" s="118"/>
      <c r="B9" s="304" t="s">
        <v>12</v>
      </c>
      <c r="C9" s="305"/>
      <c r="D9" s="118" t="s">
        <v>13</v>
      </c>
      <c r="E9" s="133" t="s">
        <v>14</v>
      </c>
      <c r="F9" s="119"/>
      <c r="G9" s="119"/>
      <c r="H9" s="119"/>
      <c r="I9" s="119"/>
      <c r="J9" s="120"/>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row>
    <row r="10" spans="1:35" ht="15" customHeight="1">
      <c r="A10" s="118"/>
      <c r="B10" s="304" t="s">
        <v>15</v>
      </c>
      <c r="C10" s="305"/>
      <c r="D10" s="118" t="s">
        <v>13</v>
      </c>
      <c r="E10" s="133" t="s">
        <v>16</v>
      </c>
      <c r="F10" s="119"/>
      <c r="G10" s="119"/>
      <c r="H10" s="119"/>
      <c r="I10" s="119"/>
      <c r="J10" s="120"/>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row>
    <row r="11" spans="1:35" ht="15" customHeight="1">
      <c r="A11" s="118"/>
      <c r="B11" s="304" t="s">
        <v>17</v>
      </c>
      <c r="C11" s="305"/>
      <c r="D11" s="118" t="str">
        <f>E9</f>
        <v>UGX</v>
      </c>
      <c r="E11" s="134"/>
      <c r="F11" s="119"/>
      <c r="G11" s="119"/>
      <c r="H11" s="119"/>
      <c r="I11" s="119"/>
      <c r="J11" s="120"/>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row>
    <row r="12" spans="1:35" ht="32.25" customHeight="1">
      <c r="A12" s="118"/>
      <c r="B12" s="287" t="s">
        <v>18</v>
      </c>
      <c r="C12" s="398"/>
      <c r="D12" s="118" t="s">
        <v>19</v>
      </c>
      <c r="E12" s="135"/>
      <c r="F12" s="119"/>
      <c r="G12" s="119"/>
      <c r="H12" s="119"/>
      <c r="I12" s="119"/>
      <c r="J12" s="120"/>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row>
    <row r="13" spans="1:35" ht="15" customHeight="1">
      <c r="A13" s="118"/>
      <c r="B13" s="304" t="s">
        <v>20</v>
      </c>
      <c r="C13" s="305"/>
      <c r="D13" s="118" t="str">
        <f>_xlfn.CONCAT(E9,"/",E10)</f>
        <v>UGX/USD</v>
      </c>
      <c r="E13" s="132">
        <v>3500</v>
      </c>
      <c r="F13" s="119"/>
      <c r="G13" s="119"/>
      <c r="H13" s="119"/>
      <c r="I13" s="119"/>
      <c r="J13" s="120"/>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row>
    <row r="14" spans="1:35" ht="15" customHeight="1">
      <c r="A14" s="118"/>
      <c r="B14" s="304" t="s">
        <v>21</v>
      </c>
      <c r="C14" s="305"/>
      <c r="D14" s="118" t="s">
        <v>22</v>
      </c>
      <c r="E14" s="136"/>
      <c r="F14" s="119"/>
      <c r="G14" s="119"/>
      <c r="H14" s="119"/>
      <c r="I14" s="119"/>
      <c r="J14" s="120"/>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row>
    <row r="15" spans="1:35" ht="15" customHeight="1">
      <c r="A15" s="118"/>
      <c r="B15" s="304" t="s">
        <v>23</v>
      </c>
      <c r="C15" s="305"/>
      <c r="D15" s="118" t="s">
        <v>24</v>
      </c>
      <c r="E15" s="135"/>
      <c r="F15" s="119"/>
      <c r="G15" s="119"/>
      <c r="H15" s="119"/>
      <c r="I15" s="119"/>
      <c r="J15" s="120"/>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row>
    <row r="16" spans="1:35" ht="15" customHeight="1">
      <c r="A16" s="118"/>
      <c r="B16" s="304" t="s">
        <v>25</v>
      </c>
      <c r="C16" s="305"/>
      <c r="D16" s="118" t="s">
        <v>24</v>
      </c>
      <c r="E16" s="135"/>
      <c r="F16" s="119"/>
      <c r="G16" s="119"/>
      <c r="H16" s="119"/>
      <c r="I16" s="119"/>
      <c r="J16" s="120"/>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row>
    <row r="17" spans="1:37" ht="15" customHeight="1">
      <c r="A17" s="118"/>
      <c r="B17" s="304" t="s">
        <v>26</v>
      </c>
      <c r="C17" s="305"/>
      <c r="D17" s="118" t="s">
        <v>24</v>
      </c>
      <c r="E17" s="137"/>
      <c r="F17" s="119"/>
      <c r="G17" s="119"/>
      <c r="H17" s="119"/>
      <c r="I17" s="119"/>
      <c r="J17" s="120"/>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row>
    <row r="18" spans="1:37" ht="15" customHeight="1">
      <c r="A18" s="118"/>
      <c r="B18" s="119"/>
      <c r="C18" s="119"/>
      <c r="D18" s="119"/>
      <c r="E18" s="138"/>
      <c r="F18" s="119"/>
      <c r="G18" s="119"/>
      <c r="H18" s="119"/>
      <c r="I18" s="119"/>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row>
    <row r="19" spans="1:37" ht="15" customHeight="1">
      <c r="A19" s="122" t="s">
        <v>27</v>
      </c>
      <c r="B19" s="123"/>
      <c r="C19" s="123"/>
      <c r="D19" s="124" t="s">
        <v>2</v>
      </c>
      <c r="E19" s="124" t="s">
        <v>3</v>
      </c>
      <c r="F19" s="119"/>
      <c r="G19" s="119"/>
      <c r="H19" s="119"/>
      <c r="I19" s="119"/>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row>
    <row r="20" spans="1:37" ht="15" customHeight="1">
      <c r="A20" s="118"/>
      <c r="B20" s="300" t="s">
        <v>28</v>
      </c>
      <c r="C20" s="316"/>
      <c r="D20" s="400" t="s">
        <v>29</v>
      </c>
      <c r="E20" s="139"/>
      <c r="F20" s="140">
        <f>E20*E4</f>
        <v>0</v>
      </c>
      <c r="G20" s="119" t="s">
        <v>30</v>
      </c>
      <c r="H20" s="119"/>
      <c r="I20" s="119"/>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row>
    <row r="21" spans="1:37" ht="15" customHeight="1">
      <c r="A21" s="118"/>
      <c r="B21" s="301" t="s">
        <v>31</v>
      </c>
      <c r="C21" s="306"/>
      <c r="D21" s="400" t="s">
        <v>32</v>
      </c>
      <c r="E21" s="141"/>
      <c r="F21" s="142">
        <f>IFERROR(E21*E5/E14, 0)</f>
        <v>0</v>
      </c>
      <c r="G21" s="119" t="s">
        <v>33</v>
      </c>
      <c r="H21" s="119"/>
      <c r="I21" s="119"/>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row>
    <row r="22" spans="1:37" ht="15" customHeight="1">
      <c r="A22" s="118"/>
      <c r="B22" s="301" t="s">
        <v>34</v>
      </c>
      <c r="C22" s="306"/>
      <c r="D22" s="400" t="s">
        <v>35</v>
      </c>
      <c r="E22" s="139"/>
      <c r="F22" s="142"/>
      <c r="G22" s="119"/>
      <c r="H22" s="119"/>
      <c r="I22" s="119"/>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row>
    <row r="23" spans="1:37" s="147" customFormat="1" ht="15" customHeight="1">
      <c r="A23" s="143"/>
      <c r="B23" s="317" t="s">
        <v>36</v>
      </c>
      <c r="C23" s="318"/>
      <c r="D23" s="400" t="s">
        <v>37</v>
      </c>
      <c r="E23" s="145">
        <f>E4*E5*E20*E21+E7*E21+IF(E8="Yes",1,0)*SUM('Additional Calculations'!H46:H48)/30.4375</f>
        <v>0</v>
      </c>
      <c r="F23" s="146" t="str">
        <f>IFERROR(E23/E14, "")</f>
        <v/>
      </c>
      <c r="G23" s="120" t="s">
        <v>38</v>
      </c>
      <c r="H23" s="119"/>
      <c r="I23" s="119"/>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row>
    <row r="24" spans="1:37" s="148" customFormat="1" ht="15" customHeight="1">
      <c r="A24" s="118"/>
      <c r="B24" s="119"/>
      <c r="C24" s="119"/>
      <c r="D24" s="119"/>
      <c r="E24" s="119"/>
      <c r="F24" s="119"/>
      <c r="G24" s="119"/>
      <c r="H24" s="119"/>
      <c r="I24" s="119"/>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row>
    <row r="25" spans="1:37" s="152" customFormat="1" ht="15" customHeight="1">
      <c r="A25" s="149"/>
      <c r="B25" s="150"/>
      <c r="C25" s="150"/>
      <c r="D25" s="151" t="s">
        <v>2</v>
      </c>
      <c r="E25" s="295" t="s">
        <v>39</v>
      </c>
      <c r="F25" s="306"/>
      <c r="G25" s="295" t="s">
        <v>40</v>
      </c>
      <c r="H25" s="296"/>
      <c r="I25" s="276" t="s">
        <v>41</v>
      </c>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row>
    <row r="26" spans="1:37" s="152" customFormat="1" ht="15" customHeight="1">
      <c r="A26" s="153" t="s">
        <v>42</v>
      </c>
      <c r="B26" s="154"/>
      <c r="C26" s="154" t="s">
        <v>43</v>
      </c>
      <c r="D26" s="155"/>
      <c r="E26" s="156" t="str">
        <f>$E$9</f>
        <v>UGX</v>
      </c>
      <c r="F26" s="157" t="str">
        <f>$E$10</f>
        <v>USD</v>
      </c>
      <c r="G26" s="156" t="str">
        <f>$E$9</f>
        <v>UGX</v>
      </c>
      <c r="H26" s="158" t="str">
        <f>$E$10</f>
        <v>USD</v>
      </c>
      <c r="I26" s="277"/>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row>
    <row r="27" spans="1:37" s="147" customFormat="1" ht="15" customHeight="1">
      <c r="A27" s="297" t="s">
        <v>44</v>
      </c>
      <c r="B27" s="144" t="s">
        <v>45</v>
      </c>
      <c r="C27" s="159" t="s">
        <v>11</v>
      </c>
      <c r="D27" s="160" t="s">
        <v>46</v>
      </c>
      <c r="E27" s="161">
        <f>F27*$E$13</f>
        <v>0</v>
      </c>
      <c r="F27" s="162">
        <f>IF(C27="Yes",'Additional Calculations'!I12,0)</f>
        <v>0</v>
      </c>
      <c r="G27" s="163">
        <f>E23*30.4375/1000*E27</f>
        <v>0</v>
      </c>
      <c r="H27" s="164">
        <f>IFERROR(G27/$E$13, 0)</f>
        <v>0</v>
      </c>
      <c r="I27" s="165">
        <f>IFERROR(G27/($G$56+$G$42), 0)</f>
        <v>0</v>
      </c>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row>
    <row r="28" spans="1:37" s="171" customFormat="1" ht="29.25" customHeight="1">
      <c r="A28" s="298"/>
      <c r="B28" s="401" t="s">
        <v>47</v>
      </c>
      <c r="C28" s="166" t="s">
        <v>11</v>
      </c>
      <c r="D28" s="167" t="s">
        <v>46</v>
      </c>
      <c r="E28" s="143">
        <f>IFERROR(F28*$E$13, 0)</f>
        <v>0</v>
      </c>
      <c r="F28" s="168">
        <f>IFERROR(H28/(E23*30.4375)*1000, 0)</f>
        <v>0</v>
      </c>
      <c r="G28" s="167">
        <f>IF(C28="Yes",'Additional Calculations'!J20+'Additional Calculations'!F55,0)</f>
        <v>0</v>
      </c>
      <c r="H28" s="169">
        <f>IF(C28="Yes",'Additional Calculations'!J22+'Additional Calculations'!F57,0)</f>
        <v>0</v>
      </c>
      <c r="I28" s="170">
        <f>IFERROR(G28/($G$56+$G$42), 0)</f>
        <v>0</v>
      </c>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row>
    <row r="29" spans="1:37" ht="15" customHeight="1">
      <c r="A29" s="298"/>
      <c r="B29" s="119" t="s">
        <v>48</v>
      </c>
      <c r="C29" s="166" t="s">
        <v>11</v>
      </c>
      <c r="D29" s="157" t="s">
        <v>46</v>
      </c>
      <c r="E29" s="143">
        <f>IFERROR(F29*$E$13, 0)</f>
        <v>0</v>
      </c>
      <c r="F29" s="172">
        <f>IFERROR(H29/(E23*30.4375)*1000, 0)</f>
        <v>0</v>
      </c>
      <c r="G29" s="167">
        <f>IF(C29="Yes",'Additional Calculations'!J28,0)</f>
        <v>0</v>
      </c>
      <c r="H29" s="172">
        <f>IF(C29="Yes",'Additional Calculations'!J30,0)</f>
        <v>0</v>
      </c>
      <c r="I29" s="170">
        <f>IFERROR(G29/($G$56+$G$42), 0)</f>
        <v>0</v>
      </c>
      <c r="J29" s="173"/>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row>
    <row r="30" spans="1:37" ht="15.75" customHeight="1">
      <c r="A30" s="298"/>
      <c r="B30" s="119" t="s">
        <v>49</v>
      </c>
      <c r="C30" s="174"/>
      <c r="D30" s="155" t="str">
        <f>IF(E60="Monthly household fee","/month","/m3 water")</f>
        <v>/m3 water</v>
      </c>
      <c r="E30" s="167">
        <f>IFERROR(IF(E60="Monthly household fee",E67*E4*E20*E22*SUM(E15:E17),((E15+E16+E17)*(E67*1000/E14))*E22), 0)</f>
        <v>0</v>
      </c>
      <c r="F30" s="175">
        <f>IFERROR(E30/$E$13, 0)</f>
        <v>0</v>
      </c>
      <c r="G30" s="176">
        <f>IF(E60="Monthly household fee",E30,E30*(E4*E5*E20*E21+(1-IF(E8="Yes",1,0))*E7*E21)*30/1000)</f>
        <v>0</v>
      </c>
      <c r="H30" s="177">
        <f>IFERROR(G30/$E$13, 0)</f>
        <v>0</v>
      </c>
      <c r="I30" s="178">
        <f>IFERROR(G30/($G$56+$G$42), 0)</f>
        <v>0</v>
      </c>
      <c r="J30" s="173"/>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row>
    <row r="31" spans="1:37" ht="15" customHeight="1">
      <c r="A31" s="297" t="s">
        <v>50</v>
      </c>
      <c r="B31" s="302" t="s">
        <v>51</v>
      </c>
      <c r="C31" s="303"/>
      <c r="D31" s="179" t="s">
        <v>52</v>
      </c>
      <c r="E31" s="180"/>
      <c r="F31" s="162">
        <f>IFERROR(E31/$E$13, 0)</f>
        <v>0</v>
      </c>
      <c r="G31" s="161">
        <f t="shared" ref="G31:G39" si="0">E31</f>
        <v>0</v>
      </c>
      <c r="H31" s="162">
        <f>IFERROR(G31/$E$13, 0)</f>
        <v>0</v>
      </c>
      <c r="I31" s="170">
        <f>IFERROR(G31/($G$56+$G$42), 0)</f>
        <v>0</v>
      </c>
      <c r="J31" s="173"/>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row>
    <row r="32" spans="1:37" ht="15" customHeight="1">
      <c r="A32" s="298"/>
      <c r="B32" s="304" t="s">
        <v>53</v>
      </c>
      <c r="C32" s="305"/>
      <c r="D32" s="181" t="s">
        <v>52</v>
      </c>
      <c r="E32" s="159"/>
      <c r="F32" s="172">
        <f>IFERROR(E32/$E$13, 0)</f>
        <v>0</v>
      </c>
      <c r="G32" s="143">
        <f t="shared" si="0"/>
        <v>0</v>
      </c>
      <c r="H32" s="172">
        <f>IFERROR(G32/$E$13, 0)</f>
        <v>0</v>
      </c>
      <c r="I32" s="170">
        <f t="shared" ref="I32:I38" si="1">IFERROR(G32/($G$56+$G$42), 0)</f>
        <v>0</v>
      </c>
      <c r="J32" s="173"/>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row>
    <row r="33" spans="1:35" ht="15" customHeight="1">
      <c r="A33" s="298"/>
      <c r="B33" s="304" t="s">
        <v>54</v>
      </c>
      <c r="C33" s="305"/>
      <c r="D33" s="181" t="s">
        <v>52</v>
      </c>
      <c r="E33" s="159"/>
      <c r="F33" s="172">
        <f t="shared" ref="F33:F38" si="2">IFERROR(E33/$E$13, 0)</f>
        <v>0</v>
      </c>
      <c r="G33" s="143">
        <f t="shared" si="0"/>
        <v>0</v>
      </c>
      <c r="H33" s="172">
        <f t="shared" ref="H33:H38" si="3">IFERROR(G33/$E$13, 0)</f>
        <v>0</v>
      </c>
      <c r="I33" s="170">
        <f t="shared" si="1"/>
        <v>0</v>
      </c>
      <c r="J33" s="173"/>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row>
    <row r="34" spans="1:35" ht="15" customHeight="1">
      <c r="A34" s="298"/>
      <c r="B34" s="304" t="s">
        <v>55</v>
      </c>
      <c r="C34" s="305"/>
      <c r="D34" s="181" t="s">
        <v>52</v>
      </c>
      <c r="E34" s="159"/>
      <c r="F34" s="172">
        <f t="shared" si="2"/>
        <v>0</v>
      </c>
      <c r="G34" s="143">
        <f t="shared" si="0"/>
        <v>0</v>
      </c>
      <c r="H34" s="172">
        <f t="shared" si="3"/>
        <v>0</v>
      </c>
      <c r="I34" s="170">
        <f t="shared" si="1"/>
        <v>0</v>
      </c>
      <c r="J34" s="173"/>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row>
    <row r="35" spans="1:35" ht="15" customHeight="1">
      <c r="A35" s="298"/>
      <c r="B35" s="304" t="s">
        <v>56</v>
      </c>
      <c r="C35" s="305"/>
      <c r="D35" s="181" t="s">
        <v>52</v>
      </c>
      <c r="E35" s="159"/>
      <c r="F35" s="172">
        <f t="shared" si="2"/>
        <v>0</v>
      </c>
      <c r="G35" s="143">
        <f t="shared" si="0"/>
        <v>0</v>
      </c>
      <c r="H35" s="172">
        <f t="shared" si="3"/>
        <v>0</v>
      </c>
      <c r="I35" s="170">
        <f t="shared" si="1"/>
        <v>0</v>
      </c>
      <c r="J35" s="173"/>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row>
    <row r="36" spans="1:35" ht="15" customHeight="1">
      <c r="A36" s="298"/>
      <c r="B36" s="304" t="s">
        <v>57</v>
      </c>
      <c r="C36" s="305"/>
      <c r="D36" s="181" t="s">
        <v>52</v>
      </c>
      <c r="E36" s="159"/>
      <c r="F36" s="172">
        <f t="shared" si="2"/>
        <v>0</v>
      </c>
      <c r="G36" s="143">
        <f t="shared" si="0"/>
        <v>0</v>
      </c>
      <c r="H36" s="172">
        <f t="shared" si="3"/>
        <v>0</v>
      </c>
      <c r="I36" s="170">
        <f t="shared" si="1"/>
        <v>0</v>
      </c>
      <c r="J36" s="173"/>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row>
    <row r="37" spans="1:35" ht="15" customHeight="1">
      <c r="A37" s="298"/>
      <c r="B37" s="127" t="s">
        <v>58</v>
      </c>
      <c r="C37" s="128"/>
      <c r="D37" s="181" t="s">
        <v>52</v>
      </c>
      <c r="E37" s="159"/>
      <c r="F37" s="172">
        <f t="shared" si="2"/>
        <v>0</v>
      </c>
      <c r="G37" s="143">
        <f t="shared" si="0"/>
        <v>0</v>
      </c>
      <c r="H37" s="172">
        <f t="shared" si="3"/>
        <v>0</v>
      </c>
      <c r="I37" s="170">
        <f t="shared" si="1"/>
        <v>0</v>
      </c>
      <c r="J37" s="173"/>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row>
    <row r="38" spans="1:35" ht="30.75" customHeight="1">
      <c r="A38" s="298"/>
      <c r="B38" s="401" t="s">
        <v>59</v>
      </c>
      <c r="C38" s="166" t="s">
        <v>11</v>
      </c>
      <c r="D38" s="182" t="s">
        <v>52</v>
      </c>
      <c r="E38" s="167">
        <f>IF(C38="Yes",'Additional Calculations'!I36,0)</f>
        <v>0</v>
      </c>
      <c r="F38" s="172">
        <f t="shared" si="2"/>
        <v>0</v>
      </c>
      <c r="G38" s="143">
        <f t="shared" si="0"/>
        <v>0</v>
      </c>
      <c r="H38" s="172">
        <f t="shared" si="3"/>
        <v>0</v>
      </c>
      <c r="I38" s="170">
        <f t="shared" si="1"/>
        <v>0</v>
      </c>
      <c r="J38" s="173"/>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row>
    <row r="39" spans="1:35" ht="15" customHeight="1">
      <c r="A39" s="299"/>
      <c r="B39" s="327" t="s">
        <v>60</v>
      </c>
      <c r="C39" s="328"/>
      <c r="D39" s="155" t="s">
        <v>52</v>
      </c>
      <c r="E39" s="185"/>
      <c r="F39" s="177">
        <f>IFERROR(E39/$E$13, 0)</f>
        <v>0</v>
      </c>
      <c r="G39" s="176">
        <f t="shared" si="0"/>
        <v>0</v>
      </c>
      <c r="H39" s="177">
        <f>IFERROR(G39/$E$13, 0)</f>
        <v>0</v>
      </c>
      <c r="I39" s="178">
        <f>IFERROR(G39/($G$56+$G$42), 0)</f>
        <v>0</v>
      </c>
      <c r="J39" s="173"/>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row>
    <row r="40" spans="1:35" ht="15" customHeight="1">
      <c r="A40" s="115"/>
      <c r="B40" s="300"/>
      <c r="C40" s="300"/>
      <c r="D40" s="300"/>
      <c r="E40" s="279" t="s">
        <v>61</v>
      </c>
      <c r="F40" s="280"/>
      <c r="G40" s="161">
        <f>SUM(G27:G30)</f>
        <v>0</v>
      </c>
      <c r="H40" s="162">
        <f>SUM(H27:H30)</f>
        <v>0</v>
      </c>
      <c r="I40" s="165">
        <f>IFERROR(G40/($G$56+$G$42), 0)</f>
        <v>0</v>
      </c>
      <c r="J40" s="173"/>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row>
    <row r="41" spans="1:35" ht="15" customHeight="1">
      <c r="A41" s="118"/>
      <c r="B41" s="301"/>
      <c r="C41" s="301"/>
      <c r="D41" s="301"/>
      <c r="E41" s="281" t="s">
        <v>62</v>
      </c>
      <c r="F41" s="282"/>
      <c r="G41" s="176">
        <f>SUM(G31:G39)</f>
        <v>0</v>
      </c>
      <c r="H41" s="177">
        <f>SUM(H31:H37)+H39</f>
        <v>0</v>
      </c>
      <c r="I41" s="178">
        <f>IFERROR(G41/($G$56+$G$42), 0)</f>
        <v>0</v>
      </c>
      <c r="J41" s="173"/>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row>
    <row r="42" spans="1:35">
      <c r="A42" s="186"/>
      <c r="B42" s="281" t="s">
        <v>63</v>
      </c>
      <c r="C42" s="281"/>
      <c r="D42" s="281"/>
      <c r="E42" s="281"/>
      <c r="F42" s="282"/>
      <c r="G42" s="143">
        <f t="shared" ref="G42:H42" si="4">G41+G40</f>
        <v>0</v>
      </c>
      <c r="H42" s="172">
        <f t="shared" si="4"/>
        <v>0</v>
      </c>
      <c r="I42" s="165">
        <f>IFERROR(G42/($G$56+$G$42), 0)</f>
        <v>0</v>
      </c>
      <c r="J42" s="173"/>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row>
    <row r="43" spans="1:35" ht="15" customHeight="1">
      <c r="A43" s="118"/>
      <c r="B43" s="119"/>
      <c r="C43" s="119"/>
      <c r="D43" s="119"/>
      <c r="E43" s="119"/>
      <c r="F43" s="119"/>
      <c r="G43" s="119"/>
      <c r="H43" s="119"/>
      <c r="I43" s="119"/>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row>
    <row r="44" spans="1:35" ht="15" customHeight="1">
      <c r="A44" s="118"/>
      <c r="B44" s="187"/>
      <c r="C44" s="188"/>
      <c r="D44" s="310" t="s">
        <v>64</v>
      </c>
      <c r="E44" s="295" t="s">
        <v>65</v>
      </c>
      <c r="F44" s="296"/>
      <c r="G44" s="295" t="s">
        <v>40</v>
      </c>
      <c r="H44" s="296"/>
      <c r="I44" s="276" t="s">
        <v>41</v>
      </c>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row>
    <row r="45" spans="1:35" ht="15" customHeight="1">
      <c r="A45" s="122" t="s">
        <v>66</v>
      </c>
      <c r="B45" s="123"/>
      <c r="C45" s="189"/>
      <c r="D45" s="311"/>
      <c r="E45" s="156" t="str">
        <f>$E$9</f>
        <v>UGX</v>
      </c>
      <c r="F45" s="190" t="str">
        <f>$E$10</f>
        <v>USD</v>
      </c>
      <c r="G45" s="156" t="str">
        <f>$E$9</f>
        <v>UGX</v>
      </c>
      <c r="H45" s="190" t="str">
        <f>$E$10</f>
        <v>USD</v>
      </c>
      <c r="I45" s="277"/>
      <c r="J45" s="182"/>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row>
    <row r="46" spans="1:35" ht="15" customHeight="1">
      <c r="A46" s="118"/>
      <c r="B46" s="119" t="s">
        <v>67</v>
      </c>
      <c r="C46" s="119"/>
      <c r="D46" s="133"/>
      <c r="E46" s="191"/>
      <c r="F46" s="192">
        <f>IFERROR(E46/$E$13, 0)</f>
        <v>0</v>
      </c>
      <c r="G46" s="161">
        <f>IFERROR(E46*(1^D46)/(D46*12), 0)</f>
        <v>0</v>
      </c>
      <c r="H46" s="172">
        <f>IFERROR(G46/$E$13, 0)</f>
        <v>0</v>
      </c>
      <c r="I46" s="165">
        <f>IFERROR(G46/($G$56+$G$42), 0)</f>
        <v>0</v>
      </c>
      <c r="J46" s="173"/>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row>
    <row r="47" spans="1:35" ht="15" customHeight="1">
      <c r="A47" s="118"/>
      <c r="B47" s="119" t="s">
        <v>68</v>
      </c>
      <c r="C47" s="119"/>
      <c r="D47" s="133"/>
      <c r="E47" s="191"/>
      <c r="F47" s="192">
        <f>IFERROR(E47/$E$13, 0)</f>
        <v>0</v>
      </c>
      <c r="G47" s="143">
        <f t="shared" ref="G47:G55" si="5">IFERROR(E47*(1^D47)/(D47*12), 0)</f>
        <v>0</v>
      </c>
      <c r="H47" s="172">
        <f>IFERROR(G47/$E$13, 0)</f>
        <v>0</v>
      </c>
      <c r="I47" s="170">
        <f t="shared" ref="I47:I54" si="6">IFERROR(G47/($G$56+$G$42), 0)</f>
        <v>0</v>
      </c>
      <c r="J47" s="173"/>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row>
    <row r="48" spans="1:35" ht="15" customHeight="1">
      <c r="A48" s="118"/>
      <c r="B48" s="119" t="s">
        <v>69</v>
      </c>
      <c r="C48" s="119"/>
      <c r="D48" s="133"/>
      <c r="E48" s="191"/>
      <c r="F48" s="192">
        <f t="shared" ref="F48:F54" si="7">IFERROR(E48/$E$13, 0)</f>
        <v>0</v>
      </c>
      <c r="G48" s="143">
        <f t="shared" si="5"/>
        <v>0</v>
      </c>
      <c r="H48" s="172">
        <f t="shared" ref="H48:H55" si="8">IFERROR(G48/$E$13, 0)</f>
        <v>0</v>
      </c>
      <c r="I48" s="170">
        <f t="shared" si="6"/>
        <v>0</v>
      </c>
      <c r="J48" s="173"/>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row>
    <row r="49" spans="1:35" ht="15" customHeight="1">
      <c r="A49" s="118"/>
      <c r="B49" s="119" t="s">
        <v>70</v>
      </c>
      <c r="C49" s="119"/>
      <c r="D49" s="133"/>
      <c r="E49" s="191"/>
      <c r="F49" s="192">
        <f t="shared" si="7"/>
        <v>0</v>
      </c>
      <c r="G49" s="143">
        <f t="shared" si="5"/>
        <v>0</v>
      </c>
      <c r="H49" s="172">
        <f t="shared" si="8"/>
        <v>0</v>
      </c>
      <c r="I49" s="170">
        <f t="shared" si="6"/>
        <v>0</v>
      </c>
      <c r="J49" s="173"/>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row>
    <row r="50" spans="1:35" ht="15" customHeight="1">
      <c r="A50" s="118"/>
      <c r="B50" s="119" t="s">
        <v>71</v>
      </c>
      <c r="C50" s="119"/>
      <c r="D50" s="133"/>
      <c r="E50" s="191"/>
      <c r="F50" s="192">
        <f t="shared" si="7"/>
        <v>0</v>
      </c>
      <c r="G50" s="143">
        <f t="shared" si="5"/>
        <v>0</v>
      </c>
      <c r="H50" s="172">
        <f t="shared" si="8"/>
        <v>0</v>
      </c>
      <c r="I50" s="170">
        <f t="shared" si="6"/>
        <v>0</v>
      </c>
      <c r="J50" s="173"/>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row>
    <row r="51" spans="1:35" ht="15" customHeight="1">
      <c r="A51" s="118"/>
      <c r="B51" s="119" t="s">
        <v>72</v>
      </c>
      <c r="C51" s="119"/>
      <c r="D51" s="133"/>
      <c r="E51" s="191"/>
      <c r="F51" s="192">
        <f t="shared" si="7"/>
        <v>0</v>
      </c>
      <c r="G51" s="143">
        <f t="shared" si="5"/>
        <v>0</v>
      </c>
      <c r="H51" s="172">
        <f t="shared" si="8"/>
        <v>0</v>
      </c>
      <c r="I51" s="170">
        <f t="shared" si="6"/>
        <v>0</v>
      </c>
      <c r="J51" s="173"/>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row>
    <row r="52" spans="1:35" ht="15" customHeight="1">
      <c r="A52" s="118"/>
      <c r="B52" s="119" t="s">
        <v>73</v>
      </c>
      <c r="C52" s="119"/>
      <c r="D52" s="133"/>
      <c r="E52" s="191"/>
      <c r="F52" s="192">
        <f t="shared" si="7"/>
        <v>0</v>
      </c>
      <c r="G52" s="143">
        <f t="shared" si="5"/>
        <v>0</v>
      </c>
      <c r="H52" s="172">
        <f t="shared" si="8"/>
        <v>0</v>
      </c>
      <c r="I52" s="170">
        <f t="shared" si="6"/>
        <v>0</v>
      </c>
      <c r="J52" s="173"/>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row>
    <row r="53" spans="1:35" ht="15" customHeight="1">
      <c r="A53" s="118"/>
      <c r="B53" s="119" t="s">
        <v>74</v>
      </c>
      <c r="C53" s="119"/>
      <c r="D53" s="133"/>
      <c r="E53" s="191"/>
      <c r="F53" s="192">
        <f t="shared" si="7"/>
        <v>0</v>
      </c>
      <c r="G53" s="143">
        <f t="shared" si="5"/>
        <v>0</v>
      </c>
      <c r="H53" s="172">
        <f t="shared" si="8"/>
        <v>0</v>
      </c>
      <c r="I53" s="170">
        <f t="shared" si="6"/>
        <v>0</v>
      </c>
      <c r="J53" s="173"/>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row>
    <row r="54" spans="1:35" ht="15" customHeight="1">
      <c r="A54" s="118"/>
      <c r="B54" s="119" t="s">
        <v>75</v>
      </c>
      <c r="C54" s="119"/>
      <c r="D54" s="133"/>
      <c r="E54" s="191"/>
      <c r="F54" s="192">
        <f t="shared" si="7"/>
        <v>0</v>
      </c>
      <c r="G54" s="143">
        <f t="shared" si="5"/>
        <v>0</v>
      </c>
      <c r="H54" s="172">
        <f t="shared" si="8"/>
        <v>0</v>
      </c>
      <c r="I54" s="170">
        <f t="shared" si="6"/>
        <v>0</v>
      </c>
      <c r="J54" s="173"/>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row>
    <row r="55" spans="1:35" ht="15" customHeight="1">
      <c r="A55" s="193"/>
      <c r="B55" s="123" t="s">
        <v>76</v>
      </c>
      <c r="C55" s="123"/>
      <c r="D55" s="194"/>
      <c r="E55" s="191"/>
      <c r="F55" s="192">
        <f>IFERROR(E55/$E$13, 0)</f>
        <v>0</v>
      </c>
      <c r="G55" s="176">
        <f t="shared" si="5"/>
        <v>0</v>
      </c>
      <c r="H55" s="177">
        <f t="shared" si="8"/>
        <v>0</v>
      </c>
      <c r="I55" s="178">
        <f>IFERROR(G55/($G$56+$G$42), 0)</f>
        <v>0</v>
      </c>
      <c r="J55" s="173"/>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row>
    <row r="56" spans="1:35" ht="15" customHeight="1">
      <c r="A56" s="118"/>
      <c r="B56" s="279" t="s">
        <v>77</v>
      </c>
      <c r="C56" s="279"/>
      <c r="D56" s="280"/>
      <c r="E56" s="161">
        <f>SUM(E46:E55)</f>
        <v>0</v>
      </c>
      <c r="F56" s="195">
        <f>IFERROR(SUM(F46:F55), 0)</f>
        <v>0</v>
      </c>
      <c r="G56" s="143">
        <f>SUM(G46:G55)+G38</f>
        <v>0</v>
      </c>
      <c r="H56" s="172">
        <f>SUM(H46:H55)+H38</f>
        <v>0</v>
      </c>
      <c r="I56" s="165">
        <f>IFERROR(G56/($G$56+$G$42), 0)</f>
        <v>0</v>
      </c>
      <c r="J56" s="173"/>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row>
    <row r="57" spans="1:35" ht="15" customHeight="1">
      <c r="A57" s="118"/>
      <c r="B57" s="127"/>
      <c r="C57" s="127"/>
      <c r="D57" s="287"/>
      <c r="E57" s="287"/>
      <c r="F57" s="287"/>
      <c r="G57" s="167"/>
      <c r="H57" s="175"/>
      <c r="I57" s="138"/>
      <c r="J57" s="173"/>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row>
    <row r="58" spans="1:35" ht="15" customHeight="1">
      <c r="A58" s="118"/>
      <c r="B58" s="119"/>
      <c r="C58" s="119"/>
      <c r="D58" s="119"/>
      <c r="E58" s="119"/>
      <c r="F58" s="119"/>
      <c r="G58" s="119"/>
      <c r="H58" s="119"/>
      <c r="I58" s="119"/>
      <c r="J58" s="120"/>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row>
    <row r="59" spans="1:35" ht="15" customHeight="1">
      <c r="A59" s="122" t="s">
        <v>78</v>
      </c>
      <c r="B59" s="123"/>
      <c r="C59" s="123"/>
      <c r="D59" s="124" t="s">
        <v>2</v>
      </c>
      <c r="E59" s="155" t="str">
        <f>$E$9</f>
        <v>UGX</v>
      </c>
      <c r="F59" s="155" t="str">
        <f>$E$10</f>
        <v>USD</v>
      </c>
      <c r="G59" s="174"/>
      <c r="H59" s="307" t="s">
        <v>79</v>
      </c>
      <c r="I59" s="307" t="s">
        <v>80</v>
      </c>
      <c r="J59" s="196"/>
      <c r="K59" s="121"/>
      <c r="L59" s="121"/>
      <c r="O59" s="121"/>
      <c r="P59" s="121"/>
      <c r="Q59" s="121"/>
      <c r="R59" s="121"/>
      <c r="S59" s="121"/>
      <c r="T59" s="121"/>
      <c r="U59" s="121"/>
      <c r="V59" s="121"/>
      <c r="W59" s="121"/>
      <c r="X59" s="121"/>
      <c r="Y59" s="121"/>
      <c r="Z59" s="121"/>
      <c r="AA59" s="121"/>
      <c r="AB59" s="121"/>
      <c r="AC59" s="121"/>
      <c r="AD59" s="121"/>
      <c r="AE59" s="121"/>
      <c r="AF59" s="121"/>
      <c r="AG59" s="121"/>
      <c r="AH59" s="121"/>
      <c r="AI59" s="121"/>
    </row>
    <row r="60" spans="1:35" ht="30" customHeight="1">
      <c r="A60" s="118"/>
      <c r="B60" s="402" t="s">
        <v>81</v>
      </c>
      <c r="C60" s="403"/>
      <c r="D60" s="179" t="str">
        <f>IF($E$60="Forfait mensuel par foyer","/foyer/mois","/récipient")</f>
        <v>/récipient</v>
      </c>
      <c r="E60" s="308" t="s">
        <v>82</v>
      </c>
      <c r="F60" s="309"/>
      <c r="G60" s="174"/>
      <c r="H60" s="307"/>
      <c r="I60" s="307"/>
      <c r="J60" s="197"/>
      <c r="K60" s="121"/>
      <c r="L60" s="121"/>
      <c r="O60" s="121"/>
      <c r="P60" s="121"/>
      <c r="Q60" s="121"/>
      <c r="R60" s="121"/>
      <c r="S60" s="121"/>
      <c r="T60" s="121"/>
      <c r="U60" s="121"/>
      <c r="V60" s="121"/>
      <c r="W60" s="121"/>
      <c r="X60" s="121"/>
      <c r="Y60" s="121"/>
      <c r="Z60" s="121"/>
      <c r="AA60" s="121"/>
      <c r="AB60" s="121"/>
      <c r="AC60" s="121"/>
      <c r="AD60" s="121"/>
      <c r="AE60" s="121"/>
      <c r="AF60" s="121"/>
      <c r="AG60" s="121"/>
      <c r="AH60" s="121"/>
      <c r="AI60" s="121"/>
    </row>
    <row r="61" spans="1:35" ht="15" customHeight="1">
      <c r="A61" s="118"/>
      <c r="B61" s="300" t="s">
        <v>83</v>
      </c>
      <c r="C61" s="316"/>
      <c r="D61" s="179" t="str">
        <f t="shared" ref="D61:D68" si="9">IF($E$60="Forfait mensuel par foyer","/foyer/mois","/récipient")</f>
        <v>/récipient</v>
      </c>
      <c r="E61" s="291">
        <f>IFERROR(IF(E60="Monthly household fee",$E$12*$E$11,$E$12*$E$11/(($E$21*$E$5*30)/$E$14)), 0)</f>
        <v>0</v>
      </c>
      <c r="F61" s="289">
        <f>IF(E60="Monthly household fee",E61/$E$13,0)</f>
        <v>0</v>
      </c>
      <c r="G61" s="174"/>
      <c r="H61" s="288" t="s">
        <v>84</v>
      </c>
      <c r="I61" s="274">
        <f>'Financial Sustainability Work'!I27+'Financial Sustainability Work'!I33</f>
        <v>0</v>
      </c>
      <c r="J61" s="197"/>
      <c r="K61" s="121"/>
      <c r="L61" s="121"/>
      <c r="O61" s="121"/>
      <c r="P61" s="121"/>
      <c r="Q61" s="121"/>
      <c r="R61" s="121"/>
      <c r="S61" s="121"/>
      <c r="T61" s="121"/>
      <c r="U61" s="121"/>
      <c r="V61" s="121"/>
      <c r="W61" s="121"/>
      <c r="X61" s="121"/>
      <c r="Y61" s="121"/>
      <c r="Z61" s="121"/>
      <c r="AA61" s="121"/>
      <c r="AB61" s="121"/>
      <c r="AC61" s="121"/>
      <c r="AD61" s="121"/>
      <c r="AE61" s="121"/>
      <c r="AF61" s="121"/>
      <c r="AG61" s="121"/>
      <c r="AH61" s="121"/>
      <c r="AI61" s="121"/>
    </row>
    <row r="62" spans="1:35" ht="15" customHeight="1">
      <c r="A62" s="118"/>
      <c r="B62" s="319"/>
      <c r="C62" s="320"/>
      <c r="D62" s="179" t="str">
        <f t="shared" si="9"/>
        <v>/récipient</v>
      </c>
      <c r="E62" s="292"/>
      <c r="F62" s="290"/>
      <c r="G62" s="174"/>
      <c r="H62" s="288"/>
      <c r="I62" s="275"/>
      <c r="J62" s="198"/>
      <c r="K62" s="121"/>
      <c r="L62" s="121"/>
      <c r="O62" s="121"/>
      <c r="P62" s="121"/>
      <c r="Q62" s="121"/>
      <c r="R62" s="121"/>
      <c r="S62" s="121"/>
      <c r="T62" s="121"/>
      <c r="U62" s="121"/>
      <c r="V62" s="121"/>
      <c r="W62" s="121"/>
      <c r="X62" s="121"/>
      <c r="Y62" s="121"/>
      <c r="Z62" s="121"/>
      <c r="AA62" s="121"/>
      <c r="AB62" s="121"/>
      <c r="AC62" s="121"/>
      <c r="AD62" s="121"/>
      <c r="AE62" s="121"/>
      <c r="AF62" s="121"/>
      <c r="AG62" s="121"/>
      <c r="AH62" s="121"/>
      <c r="AI62" s="121"/>
    </row>
    <row r="63" spans="1:35" ht="15" customHeight="1">
      <c r="A63" s="118"/>
      <c r="B63" s="321" t="s">
        <v>85</v>
      </c>
      <c r="C63" s="322"/>
      <c r="D63" s="179" t="str">
        <f t="shared" si="9"/>
        <v>/récipient</v>
      </c>
      <c r="E63" s="291">
        <f>IFERROR(IF(E60="Monthly household fee",(G42-IF(E8="Yes", SUM('Additional Calculations'!$F$46:$F$48), 0))/F20/E22,(G42-IF(E8="Yes", SUM('Additional Calculations'!$F$46:$F$48), 0))/((E4*E5*E20*E21+(1-IF(E8="Yes",1,0))*E7*E21)/E14*30.4375)/E22), 0)</f>
        <v>0</v>
      </c>
      <c r="F63" s="289">
        <f>IF(E60="Monthly household fee",E63/E13,0)</f>
        <v>0</v>
      </c>
      <c r="G63" s="174"/>
      <c r="H63" s="288" t="s">
        <v>86</v>
      </c>
      <c r="I63" s="274">
        <f>'Financial Sustainability Work'!I30+'Financial Sustainability Work'!I31</f>
        <v>0</v>
      </c>
      <c r="J63" s="199"/>
      <c r="K63" s="121"/>
      <c r="L63" s="121"/>
      <c r="O63" s="121"/>
      <c r="P63" s="121"/>
      <c r="Q63" s="121"/>
      <c r="R63" s="121"/>
      <c r="S63" s="121"/>
      <c r="T63" s="121"/>
      <c r="U63" s="121"/>
      <c r="V63" s="121"/>
      <c r="W63" s="121"/>
      <c r="X63" s="121"/>
      <c r="Y63" s="121"/>
      <c r="Z63" s="121"/>
      <c r="AA63" s="121"/>
      <c r="AB63" s="121"/>
      <c r="AC63" s="121"/>
      <c r="AD63" s="121"/>
      <c r="AE63" s="121"/>
      <c r="AF63" s="121"/>
      <c r="AG63" s="121"/>
      <c r="AH63" s="121"/>
      <c r="AI63" s="121"/>
    </row>
    <row r="64" spans="1:35" ht="15" customHeight="1">
      <c r="A64" s="118"/>
      <c r="B64" s="323"/>
      <c r="C64" s="324"/>
      <c r="D64" s="179" t="str">
        <f t="shared" si="9"/>
        <v>/récipient</v>
      </c>
      <c r="E64" s="292"/>
      <c r="F64" s="290"/>
      <c r="G64" s="174"/>
      <c r="H64" s="288"/>
      <c r="I64" s="275"/>
      <c r="J64" s="199"/>
      <c r="K64" s="121"/>
      <c r="L64" s="121"/>
      <c r="O64" s="121"/>
      <c r="P64" s="121"/>
      <c r="Q64" s="121"/>
      <c r="R64" s="121"/>
      <c r="S64" s="121"/>
      <c r="T64" s="121"/>
      <c r="U64" s="121"/>
      <c r="V64" s="121"/>
      <c r="W64" s="121"/>
      <c r="X64" s="121"/>
      <c r="Y64" s="121"/>
      <c r="Z64" s="121"/>
      <c r="AA64" s="121"/>
      <c r="AB64" s="121"/>
      <c r="AC64" s="121"/>
      <c r="AD64" s="121"/>
      <c r="AE64" s="121"/>
      <c r="AF64" s="121"/>
      <c r="AG64" s="121"/>
      <c r="AH64" s="121"/>
      <c r="AI64" s="121"/>
    </row>
    <row r="65" spans="1:35" ht="15" customHeight="1">
      <c r="A65" s="118"/>
      <c r="B65" s="321" t="s">
        <v>87</v>
      </c>
      <c r="C65" s="322"/>
      <c r="D65" s="179" t="str">
        <f t="shared" si="9"/>
        <v>/récipient</v>
      </c>
      <c r="E65" s="291">
        <f>IFERROR(IF(E60="Monthly household fee",((G42-IF(E8="Yes", SUM('Additional Calculations'!$F$46:$F$48), 0))+G56)/(E4*E20)/E22,((G42-IF(E8="Yes", SUM('Additional Calculations'!$F$46:$F$48), 0))+G56)/((E4*E5*E20*E21+(1-IF(E8="Yes",1,0))*E7*E21)/E14*30.4375)/E22), 0)</f>
        <v>0</v>
      </c>
      <c r="F65" s="289">
        <f>IFERROR(E65/E13, 0)</f>
        <v>0</v>
      </c>
      <c r="G65" s="174"/>
      <c r="H65" s="288" t="s">
        <v>88</v>
      </c>
      <c r="I65" s="274">
        <f>'Financial Sustainability Work'!I28+'Financial Sustainability Work'!I29</f>
        <v>0</v>
      </c>
      <c r="J65" s="199"/>
      <c r="K65" s="121"/>
      <c r="L65" s="121"/>
      <c r="O65" s="121"/>
      <c r="P65" s="121"/>
      <c r="V65" s="121"/>
      <c r="W65" s="121"/>
      <c r="X65" s="121"/>
      <c r="Y65" s="121"/>
      <c r="Z65" s="121"/>
      <c r="AA65" s="121"/>
      <c r="AB65" s="121"/>
      <c r="AC65" s="121"/>
      <c r="AD65" s="121"/>
      <c r="AE65" s="121"/>
      <c r="AF65" s="121"/>
      <c r="AG65" s="121"/>
      <c r="AH65" s="121"/>
      <c r="AI65" s="121"/>
    </row>
    <row r="66" spans="1:35" ht="15" customHeight="1">
      <c r="A66" s="118"/>
      <c r="B66" s="323"/>
      <c r="C66" s="324"/>
      <c r="D66" s="179" t="str">
        <f t="shared" si="9"/>
        <v>/récipient</v>
      </c>
      <c r="E66" s="292"/>
      <c r="F66" s="290"/>
      <c r="G66" s="174"/>
      <c r="H66" s="288"/>
      <c r="I66" s="275"/>
      <c r="J66" s="199"/>
      <c r="K66" s="121"/>
      <c r="L66" s="121"/>
      <c r="O66" s="121"/>
      <c r="P66" s="121"/>
      <c r="V66" s="121"/>
      <c r="W66" s="121"/>
      <c r="X66" s="121"/>
      <c r="Y66" s="121"/>
      <c r="Z66" s="121"/>
      <c r="AA66" s="121"/>
      <c r="AB66" s="121"/>
      <c r="AC66" s="121"/>
      <c r="AD66" s="121"/>
      <c r="AE66" s="121"/>
      <c r="AF66" s="121"/>
      <c r="AG66" s="121"/>
      <c r="AH66" s="121"/>
      <c r="AI66" s="121"/>
    </row>
    <row r="67" spans="1:35">
      <c r="A67" s="118"/>
      <c r="B67" s="321" t="s">
        <v>89</v>
      </c>
      <c r="C67" s="322"/>
      <c r="D67" s="179" t="str">
        <f t="shared" si="9"/>
        <v>/récipient</v>
      </c>
      <c r="E67" s="283"/>
      <c r="F67" s="285" t="str">
        <f>IF(E67=0, "", E67/E13)</f>
        <v/>
      </c>
      <c r="G67" s="174"/>
      <c r="H67" s="288" t="s">
        <v>90</v>
      </c>
      <c r="I67" s="274">
        <f>'Financial Sustainability Work'!I37</f>
        <v>0</v>
      </c>
      <c r="J67" s="199"/>
      <c r="K67" s="121"/>
      <c r="L67" s="121"/>
      <c r="O67" s="121"/>
      <c r="P67" s="121"/>
      <c r="Q67" s="121"/>
      <c r="R67" s="121"/>
      <c r="S67" s="121"/>
      <c r="T67" s="121"/>
      <c r="U67" s="121"/>
      <c r="V67" s="121"/>
      <c r="W67" s="121"/>
      <c r="X67" s="121"/>
      <c r="Y67" s="121"/>
      <c r="Z67" s="121"/>
      <c r="AA67" s="121"/>
      <c r="AB67" s="121"/>
      <c r="AC67" s="121"/>
      <c r="AD67" s="121"/>
      <c r="AE67" s="121"/>
      <c r="AF67" s="121"/>
      <c r="AG67" s="121"/>
      <c r="AH67" s="121"/>
      <c r="AI67" s="121"/>
    </row>
    <row r="68" spans="1:35">
      <c r="A68" s="118"/>
      <c r="B68" s="323"/>
      <c r="C68" s="324"/>
      <c r="D68" s="179" t="str">
        <f t="shared" si="9"/>
        <v>/récipient</v>
      </c>
      <c r="E68" s="284"/>
      <c r="F68" s="286"/>
      <c r="G68" s="174"/>
      <c r="H68" s="288"/>
      <c r="I68" s="275"/>
      <c r="J68" s="120"/>
      <c r="K68" s="121"/>
      <c r="L68" s="121"/>
      <c r="O68" s="121"/>
      <c r="P68" s="121"/>
      <c r="Q68" s="121"/>
      <c r="R68" s="121"/>
      <c r="S68" s="121"/>
      <c r="T68" s="121"/>
      <c r="U68" s="121"/>
      <c r="V68" s="121"/>
      <c r="W68" s="121"/>
      <c r="X68" s="121"/>
      <c r="Y68" s="121"/>
      <c r="Z68" s="121"/>
      <c r="AA68" s="121"/>
      <c r="AB68" s="121"/>
      <c r="AC68" s="121"/>
      <c r="AD68" s="121"/>
      <c r="AE68" s="121"/>
      <c r="AF68" s="121"/>
      <c r="AG68" s="121"/>
      <c r="AH68" s="121"/>
      <c r="AI68" s="121"/>
    </row>
    <row r="69" spans="1:35" ht="15" customHeight="1">
      <c r="A69" s="118"/>
      <c r="B69" s="325" t="s">
        <v>91</v>
      </c>
      <c r="C69" s="326"/>
      <c r="D69" s="201" t="s">
        <v>92</v>
      </c>
      <c r="E69" s="278" t="str">
        <f>IFERROR(E74/E75, "")</f>
        <v/>
      </c>
      <c r="F69" s="278"/>
      <c r="G69" s="174"/>
      <c r="H69" s="288" t="s">
        <v>93</v>
      </c>
      <c r="I69" s="274">
        <f>'Financial Sustainability Work'!I32+'Financial Sustainability Work'!I34+'Financial Sustainability Work'!I35+'Financial Sustainability Work'!I36+'Financial Sustainability Work'!I39</f>
        <v>0</v>
      </c>
      <c r="J69" s="120"/>
      <c r="K69" s="121"/>
      <c r="L69" s="121"/>
      <c r="O69" s="121"/>
      <c r="P69" s="121"/>
      <c r="Q69" s="121"/>
      <c r="R69" s="121"/>
      <c r="S69" s="121"/>
      <c r="T69" s="121"/>
      <c r="U69" s="121"/>
      <c r="V69" s="121"/>
      <c r="W69" s="121"/>
      <c r="X69" s="121"/>
      <c r="Y69" s="121"/>
      <c r="Z69" s="121"/>
      <c r="AA69" s="121"/>
      <c r="AB69" s="121"/>
      <c r="AC69" s="121"/>
      <c r="AD69" s="121"/>
      <c r="AE69" s="121"/>
      <c r="AF69" s="121"/>
      <c r="AG69" s="121"/>
      <c r="AH69" s="121"/>
      <c r="AI69" s="121"/>
    </row>
    <row r="70" spans="1:35">
      <c r="A70" s="118"/>
      <c r="B70" s="312" t="s">
        <v>94</v>
      </c>
      <c r="C70" s="313"/>
      <c r="D70" s="181" t="s">
        <v>92</v>
      </c>
      <c r="E70" s="278" t="str">
        <f>IFERROR(E76/E77, "")</f>
        <v/>
      </c>
      <c r="F70" s="278"/>
      <c r="G70" s="174"/>
      <c r="H70" s="288"/>
      <c r="I70" s="275"/>
      <c r="J70" s="120"/>
      <c r="K70" s="121"/>
      <c r="L70" s="121"/>
      <c r="O70" s="121"/>
      <c r="P70" s="121"/>
      <c r="Q70" s="121"/>
      <c r="R70" s="121"/>
      <c r="S70" s="121"/>
      <c r="T70" s="121"/>
      <c r="U70" s="121"/>
      <c r="V70" s="121"/>
      <c r="W70" s="121"/>
      <c r="X70" s="121"/>
      <c r="Y70" s="121"/>
      <c r="Z70" s="121"/>
      <c r="AA70" s="121"/>
      <c r="AB70" s="121"/>
      <c r="AC70" s="121"/>
      <c r="AD70" s="121"/>
      <c r="AE70" s="121"/>
      <c r="AF70" s="121"/>
      <c r="AG70" s="121"/>
      <c r="AH70" s="121"/>
      <c r="AI70" s="121"/>
    </row>
    <row r="71" spans="1:35" ht="15" customHeight="1">
      <c r="A71" s="118"/>
      <c r="B71" s="314" t="s">
        <v>95</v>
      </c>
      <c r="C71" s="315"/>
      <c r="D71" s="201" t="s">
        <v>92</v>
      </c>
      <c r="E71" s="293" t="str">
        <f>IFERROR(IF(E60="Monthly household fee",E67/E11,E67*F21*30.4375/E11),"")</f>
        <v/>
      </c>
      <c r="F71" s="294"/>
      <c r="G71" s="202"/>
      <c r="H71" s="288" t="s">
        <v>96</v>
      </c>
      <c r="I71" s="274">
        <f>'Financial Sustainability Work'!I38</f>
        <v>0</v>
      </c>
      <c r="J71" s="120"/>
      <c r="K71" s="121"/>
      <c r="L71" s="121"/>
      <c r="O71" s="121"/>
      <c r="P71" s="121"/>
      <c r="Q71" s="121"/>
      <c r="R71" s="121"/>
      <c r="S71" s="121"/>
      <c r="T71" s="121"/>
      <c r="U71" s="121"/>
      <c r="V71" s="121"/>
      <c r="W71" s="121"/>
      <c r="X71" s="121"/>
      <c r="Y71" s="121"/>
      <c r="Z71" s="121"/>
      <c r="AA71" s="121"/>
      <c r="AB71" s="121"/>
      <c r="AC71" s="121"/>
      <c r="AD71" s="121"/>
      <c r="AE71" s="121"/>
      <c r="AF71" s="121"/>
      <c r="AG71" s="121"/>
      <c r="AH71" s="121"/>
      <c r="AI71" s="121"/>
    </row>
    <row r="72" spans="1:35" ht="15" customHeight="1">
      <c r="A72" s="202"/>
      <c r="B72" s="174"/>
      <c r="C72" s="174"/>
      <c r="D72" s="174"/>
      <c r="E72" s="174"/>
      <c r="F72" s="174"/>
      <c r="G72" s="174"/>
      <c r="H72" s="288"/>
      <c r="I72" s="275"/>
      <c r="J72" s="120"/>
      <c r="K72" s="121"/>
      <c r="L72" s="121"/>
      <c r="O72" s="121"/>
      <c r="P72" s="121"/>
      <c r="Q72" s="121"/>
      <c r="R72" s="121"/>
      <c r="S72" s="121"/>
      <c r="T72" s="121"/>
      <c r="U72" s="121"/>
      <c r="V72" s="121"/>
      <c r="W72" s="121"/>
      <c r="X72" s="121"/>
      <c r="Y72" s="121"/>
      <c r="Z72" s="121"/>
      <c r="AA72" s="121"/>
      <c r="AB72" s="121"/>
      <c r="AC72" s="121"/>
      <c r="AD72" s="121"/>
      <c r="AE72" s="121"/>
      <c r="AF72" s="121"/>
      <c r="AG72" s="121"/>
      <c r="AH72" s="121"/>
      <c r="AI72" s="121"/>
    </row>
    <row r="73" spans="1:35" ht="15" customHeight="1">
      <c r="A73" s="202"/>
      <c r="B73" s="174"/>
      <c r="C73" s="174"/>
      <c r="D73" s="174"/>
      <c r="E73" s="155" t="str">
        <f>$E$9</f>
        <v>UGX</v>
      </c>
      <c r="F73" s="155" t="str">
        <f>$E$10</f>
        <v>USD</v>
      </c>
      <c r="G73" s="174"/>
      <c r="H73" s="288" t="s">
        <v>66</v>
      </c>
      <c r="I73" s="274">
        <f>'Financial Sustainability Work'!I56</f>
        <v>0</v>
      </c>
      <c r="J73" s="120"/>
      <c r="K73" s="121"/>
      <c r="L73" s="121"/>
      <c r="O73" s="121"/>
      <c r="P73" s="121"/>
      <c r="Q73" s="121"/>
      <c r="R73" s="121"/>
      <c r="S73" s="121"/>
      <c r="T73" s="121"/>
      <c r="U73" s="121"/>
      <c r="V73" s="121"/>
      <c r="W73" s="121"/>
      <c r="X73" s="121"/>
      <c r="Y73" s="121"/>
      <c r="Z73" s="121"/>
      <c r="AA73" s="121"/>
      <c r="AB73" s="121"/>
      <c r="AC73" s="121"/>
      <c r="AD73" s="121"/>
      <c r="AE73" s="121"/>
      <c r="AF73" s="121"/>
      <c r="AG73" s="121"/>
      <c r="AH73" s="121"/>
      <c r="AI73" s="121"/>
    </row>
    <row r="74" spans="1:35" ht="15" customHeight="1">
      <c r="A74" s="118"/>
      <c r="B74" s="268" t="s">
        <v>97</v>
      </c>
      <c r="C74" s="269"/>
      <c r="D74" s="179" t="s">
        <v>52</v>
      </c>
      <c r="E74" s="203">
        <f>IFERROR(IF(E60="Monthly household fee",E67*E4*E20*E22,E67*F23*E22*30)+IF(E8="Yes",1,0)*SUM('Additional Calculations'!F46:F48), 0)</f>
        <v>0</v>
      </c>
      <c r="F74" s="203">
        <f>IFERROR(ROUND(E74/E13, -1), 0)</f>
        <v>0</v>
      </c>
      <c r="G74" s="174"/>
      <c r="H74" s="288"/>
      <c r="I74" s="275"/>
      <c r="J74" s="120"/>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row>
    <row r="75" spans="1:35" ht="15" customHeight="1">
      <c r="A75" s="118"/>
      <c r="B75" s="270" t="s">
        <v>98</v>
      </c>
      <c r="C75" s="271"/>
      <c r="D75" s="181" t="s">
        <v>52</v>
      </c>
      <c r="E75" s="131">
        <f>G42</f>
        <v>0</v>
      </c>
      <c r="F75" s="204">
        <f>ROUND(H42, -1)</f>
        <v>0</v>
      </c>
      <c r="G75" s="174"/>
      <c r="H75" s="205"/>
      <c r="I75" s="205"/>
      <c r="J75" s="197"/>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row>
    <row r="76" spans="1:35" ht="15" customHeight="1">
      <c r="A76" s="118"/>
      <c r="B76" s="270" t="s">
        <v>99</v>
      </c>
      <c r="C76" s="271"/>
      <c r="D76" s="181" t="s">
        <v>52</v>
      </c>
      <c r="E76" s="131">
        <f>E74-E75</f>
        <v>0</v>
      </c>
      <c r="F76" s="131">
        <f>IFERROR(ROUND(E76/E13, -1), 0)</f>
        <v>0</v>
      </c>
      <c r="G76" s="174"/>
      <c r="H76" s="174"/>
      <c r="I76" s="205"/>
      <c r="J76" s="120"/>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row>
    <row r="77" spans="1:35" ht="15" customHeight="1">
      <c r="A77" s="118"/>
      <c r="B77" s="270" t="s">
        <v>100</v>
      </c>
      <c r="C77" s="271"/>
      <c r="D77" s="181" t="s">
        <v>52</v>
      </c>
      <c r="E77" s="131">
        <f>G56</f>
        <v>0</v>
      </c>
      <c r="F77" s="204">
        <f>ROUND(H56,-1)</f>
        <v>0</v>
      </c>
      <c r="G77" s="174"/>
      <c r="H77" s="205"/>
      <c r="I77" s="205"/>
      <c r="J77" s="197"/>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row>
    <row r="78" spans="1:35" ht="15" customHeight="1">
      <c r="A78" s="118"/>
      <c r="B78" s="272" t="s">
        <v>101</v>
      </c>
      <c r="C78" s="273"/>
      <c r="D78" s="155" t="s">
        <v>52</v>
      </c>
      <c r="E78" s="206">
        <f>E75+E77</f>
        <v>0</v>
      </c>
      <c r="F78" s="207">
        <f>F75+F77</f>
        <v>0</v>
      </c>
      <c r="G78" s="174"/>
      <c r="H78" s="205"/>
      <c r="I78" s="205"/>
      <c r="J78" s="197"/>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row>
    <row r="79" spans="1:35" ht="15" customHeight="1">
      <c r="A79" s="202"/>
      <c r="B79" s="174"/>
      <c r="C79" s="174"/>
      <c r="D79" s="174"/>
      <c r="E79" s="174"/>
      <c r="F79" s="174"/>
      <c r="G79" s="174"/>
      <c r="H79" s="174"/>
      <c r="I79" s="205"/>
      <c r="J79" s="197"/>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row>
    <row r="80" spans="1:35" ht="15" customHeight="1">
      <c r="A80" s="193"/>
      <c r="B80" s="123"/>
      <c r="C80" s="123"/>
      <c r="D80" s="123"/>
      <c r="E80" s="123"/>
      <c r="F80" s="123"/>
      <c r="G80" s="123"/>
      <c r="H80" s="208"/>
      <c r="I80" s="123"/>
      <c r="J80" s="189"/>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row>
    <row r="81" spans="2:35">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row>
    <row r="82" spans="2:35">
      <c r="B82" s="117"/>
      <c r="C82" s="117"/>
      <c r="D82" s="117"/>
      <c r="E82" s="117"/>
      <c r="F82" s="117"/>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row>
    <row r="83" spans="2:35">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row>
  </sheetData>
  <sheetProtection sheet="1" objects="1" scenarios="1"/>
  <protectedRanges>
    <protectedRange sqref="E67" name="Range4"/>
    <protectedRange sqref="E20:E22 E39 E31:E37 E4:E5 E7 E9:E17" name="Range1"/>
    <protectedRange sqref="D46:D55" name="Range1_1"/>
    <protectedRange sqref="F46:F55" name="Range3"/>
  </protectedRanges>
  <mergeCells count="81">
    <mergeCell ref="B70:C70"/>
    <mergeCell ref="B71:C71"/>
    <mergeCell ref="B20:C20"/>
    <mergeCell ref="B21:C21"/>
    <mergeCell ref="B22:C22"/>
    <mergeCell ref="B23:C23"/>
    <mergeCell ref="B61:C62"/>
    <mergeCell ref="B63:C64"/>
    <mergeCell ref="B65:C66"/>
    <mergeCell ref="B67:C68"/>
    <mergeCell ref="B69:C69"/>
    <mergeCell ref="B39:C39"/>
    <mergeCell ref="H59:H60"/>
    <mergeCell ref="I59:I60"/>
    <mergeCell ref="B60:C60"/>
    <mergeCell ref="B32:C32"/>
    <mergeCell ref="B33:C33"/>
    <mergeCell ref="B34:C34"/>
    <mergeCell ref="B35:C35"/>
    <mergeCell ref="B36:C36"/>
    <mergeCell ref="E44:F44"/>
    <mergeCell ref="E60:F60"/>
    <mergeCell ref="I44:I45"/>
    <mergeCell ref="D44:D45"/>
    <mergeCell ref="B5:C5"/>
    <mergeCell ref="B7:C7"/>
    <mergeCell ref="B6:C6"/>
    <mergeCell ref="E25:F25"/>
    <mergeCell ref="B9:C9"/>
    <mergeCell ref="B11:C11"/>
    <mergeCell ref="B12:C12"/>
    <mergeCell ref="B13:C13"/>
    <mergeCell ref="B14:C14"/>
    <mergeCell ref="B15:C15"/>
    <mergeCell ref="B16:C16"/>
    <mergeCell ref="B17:C17"/>
    <mergeCell ref="B10:C10"/>
    <mergeCell ref="B8:D8"/>
    <mergeCell ref="G25:H25"/>
    <mergeCell ref="E40:F40"/>
    <mergeCell ref="E41:F41"/>
    <mergeCell ref="G44:H44"/>
    <mergeCell ref="A27:A30"/>
    <mergeCell ref="A31:A39"/>
    <mergeCell ref="B40:D40"/>
    <mergeCell ref="B41:D41"/>
    <mergeCell ref="B31:C31"/>
    <mergeCell ref="H73:H74"/>
    <mergeCell ref="H71:H72"/>
    <mergeCell ref="E69:F69"/>
    <mergeCell ref="E71:F71"/>
    <mergeCell ref="H69:H70"/>
    <mergeCell ref="H65:H66"/>
    <mergeCell ref="H63:H64"/>
    <mergeCell ref="E61:E62"/>
    <mergeCell ref="E63:E64"/>
    <mergeCell ref="F65:F66"/>
    <mergeCell ref="F61:F62"/>
    <mergeCell ref="E65:E66"/>
    <mergeCell ref="I25:I26"/>
    <mergeCell ref="E70:F70"/>
    <mergeCell ref="B56:D56"/>
    <mergeCell ref="B42:F42"/>
    <mergeCell ref="E67:E68"/>
    <mergeCell ref="F67:F68"/>
    <mergeCell ref="D57:F57"/>
    <mergeCell ref="H61:H62"/>
    <mergeCell ref="I61:I62"/>
    <mergeCell ref="I63:I64"/>
    <mergeCell ref="F63:F64"/>
    <mergeCell ref="H67:H68"/>
    <mergeCell ref="I73:I74"/>
    <mergeCell ref="I71:I72"/>
    <mergeCell ref="I69:I70"/>
    <mergeCell ref="I67:I68"/>
    <mergeCell ref="I65:I66"/>
    <mergeCell ref="B74:C74"/>
    <mergeCell ref="B75:C75"/>
    <mergeCell ref="B76:C76"/>
    <mergeCell ref="B77:C77"/>
    <mergeCell ref="B78:C78"/>
  </mergeCells>
  <conditionalFormatting sqref="E61 E63 E65 E67">
    <cfRule type="cellIs" dxfId="28" priority="5" operator="lessThan">
      <formula>1</formula>
    </cfRule>
  </conditionalFormatting>
  <conditionalFormatting sqref="E61 E63 E65">
    <cfRule type="cellIs" dxfId="27" priority="6" operator="lessThan">
      <formula>10</formula>
    </cfRule>
  </conditionalFormatting>
  <conditionalFormatting sqref="E67">
    <cfRule type="cellIs" dxfId="26" priority="7" operator="lessThan">
      <formula>10</formula>
    </cfRule>
  </conditionalFormatting>
  <conditionalFormatting sqref="E71">
    <cfRule type="cellIs" dxfId="25" priority="30" operator="lessThan">
      <formula>$E$12</formula>
    </cfRule>
    <cfRule type="cellIs" dxfId="24" priority="31" operator="greaterThan">
      <formula>$E$12</formula>
    </cfRule>
  </conditionalFormatting>
  <conditionalFormatting sqref="E69:F69">
    <cfRule type="cellIs" dxfId="23" priority="3" operator="lessThan">
      <formula>1</formula>
    </cfRule>
  </conditionalFormatting>
  <conditionalFormatting sqref="E69:F70">
    <cfRule type="cellIs" dxfId="22" priority="29" operator="greaterThan">
      <formula>1</formula>
    </cfRule>
  </conditionalFormatting>
  <conditionalFormatting sqref="E69:F71">
    <cfRule type="containsBlanks" dxfId="21" priority="2">
      <formula>LEN(TRIM(E69))=0</formula>
    </cfRule>
  </conditionalFormatting>
  <dataValidations count="2">
    <dataValidation type="list" allowBlank="1" showInputMessage="1" showErrorMessage="1" sqref="C27:C29 C38 E8" xr:uid="{42D72C1D-B52B-4DD3-ACC1-E50A92000B0E}">
      <formula1>"Yes/No, Yes, No"</formula1>
    </dataValidation>
    <dataValidation type="list" allowBlank="1" showInputMessage="1" showErrorMessage="1" sqref="E60:F60" xr:uid="{C63030F7-F74E-4D8D-9767-BAB031CB52E9}">
      <formula1>"Sélectionnez dans le menu déroulant, Forfait mensuel par foyer, Par récipient"</formula1>
    </dataValidation>
  </dataValidations>
  <pageMargins left="0.72" right="0.72" top="0.75" bottom="0.75" header="0.3" footer="0.3"/>
  <pageSetup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E3976-9AF3-4F39-A224-80275204716B}">
  <sheetPr>
    <pageSetUpPr fitToPage="1"/>
  </sheetPr>
  <dimension ref="A1:K63"/>
  <sheetViews>
    <sheetView topLeftCell="A25" zoomScaleNormal="100" zoomScaleSheetLayoutView="160" workbookViewId="0">
      <selection activeCell="O51" sqref="O51"/>
    </sheetView>
  </sheetViews>
  <sheetFormatPr defaultColWidth="9.28515625" defaultRowHeight="15"/>
  <cols>
    <col min="1" max="1" width="3.85546875" style="210" customWidth="1"/>
    <col min="2" max="6" width="15.42578125" style="210" customWidth="1"/>
    <col min="7" max="7" width="16.42578125" style="210" customWidth="1"/>
    <col min="8" max="10" width="15.42578125" style="210" customWidth="1"/>
    <col min="11" max="11" width="3.28515625" style="210" customWidth="1"/>
    <col min="12" max="16384" width="9.28515625" style="210"/>
  </cols>
  <sheetData>
    <row r="1" spans="1:11" ht="45.95" customHeight="1">
      <c r="A1" s="209"/>
      <c r="B1" s="266" t="s">
        <v>102</v>
      </c>
      <c r="C1" s="259"/>
      <c r="D1" s="259"/>
      <c r="E1" s="259"/>
      <c r="F1" s="259"/>
      <c r="G1" s="259"/>
      <c r="H1" s="259"/>
      <c r="I1" s="259"/>
      <c r="J1" s="259"/>
      <c r="K1" s="125"/>
    </row>
    <row r="2" spans="1:11">
      <c r="A2" s="211"/>
      <c r="B2" s="127"/>
      <c r="C2" s="127"/>
      <c r="D2" s="127"/>
      <c r="E2" s="127"/>
      <c r="F2" s="127"/>
      <c r="G2" s="127"/>
      <c r="H2" s="127"/>
      <c r="I2" s="127"/>
      <c r="J2" s="127"/>
      <c r="K2" s="128"/>
    </row>
    <row r="3" spans="1:11" ht="15" customHeight="1">
      <c r="A3" s="211"/>
      <c r="B3" s="329" t="s">
        <v>103</v>
      </c>
      <c r="C3" s="329"/>
      <c r="D3" s="201" t="str">
        <f>'Financial Sustainability Work'!E9</f>
        <v>UGX</v>
      </c>
      <c r="E3" s="127"/>
      <c r="F3" s="127"/>
      <c r="G3" s="127"/>
      <c r="H3" s="127"/>
      <c r="I3" s="127"/>
      <c r="J3" s="127"/>
      <c r="K3" s="128"/>
    </row>
    <row r="4" spans="1:11" ht="15" customHeight="1">
      <c r="A4" s="211"/>
      <c r="B4" s="329" t="s">
        <v>104</v>
      </c>
      <c r="C4" s="329"/>
      <c r="D4" s="201" t="str">
        <f>'Financial Sustainability Work'!E10</f>
        <v>USD</v>
      </c>
      <c r="E4" s="127"/>
      <c r="F4" s="127"/>
      <c r="G4" s="127"/>
      <c r="H4" s="127"/>
      <c r="I4" s="127"/>
      <c r="J4" s="127"/>
      <c r="K4" s="128"/>
    </row>
    <row r="5" spans="1:11" ht="15" customHeight="1">
      <c r="A5" s="211"/>
      <c r="B5" s="329" t="str">
        <f>_xlfn.CONCAT("Taux de change [",D3,"/",D4,"]:")</f>
        <v>Taux de change [UGX/USD]:</v>
      </c>
      <c r="C5" s="329"/>
      <c r="D5" s="201">
        <f>'Financial Sustainability Work'!E13</f>
        <v>3500</v>
      </c>
      <c r="E5" s="127"/>
      <c r="F5" s="127"/>
      <c r="G5" s="127"/>
      <c r="H5" s="127"/>
      <c r="I5" s="127"/>
      <c r="J5" s="127"/>
      <c r="K5" s="128"/>
    </row>
    <row r="6" spans="1:11" ht="15" customHeight="1">
      <c r="A6" s="211"/>
      <c r="B6" s="187"/>
      <c r="C6" s="187"/>
      <c r="D6" s="157"/>
      <c r="E6" s="127"/>
      <c r="F6" s="127"/>
      <c r="G6" s="127"/>
      <c r="H6" s="127"/>
      <c r="I6" s="127"/>
      <c r="J6" s="127"/>
      <c r="K6" s="128"/>
    </row>
    <row r="7" spans="1:11" ht="15" customHeight="1">
      <c r="A7" s="211"/>
      <c r="B7" s="127"/>
      <c r="C7" s="127"/>
      <c r="D7" s="127"/>
      <c r="E7" s="127"/>
      <c r="F7" s="127"/>
      <c r="G7" s="127"/>
      <c r="H7" s="127"/>
      <c r="I7" s="127"/>
      <c r="J7" s="127"/>
      <c r="K7" s="128"/>
    </row>
    <row r="8" spans="1:11" ht="15" customHeight="1">
      <c r="A8" s="211"/>
      <c r="B8" s="212" t="s">
        <v>105</v>
      </c>
      <c r="C8" s="187" t="s">
        <v>43</v>
      </c>
      <c r="D8" s="145" t="str">
        <f>'Financial Sustainability Work'!C27</f>
        <v>Oui/Non</v>
      </c>
      <c r="E8" s="127"/>
      <c r="F8" s="127"/>
      <c r="G8" s="127"/>
      <c r="H8" s="127"/>
      <c r="I8" s="127"/>
      <c r="J8" s="127"/>
      <c r="K8" s="128"/>
    </row>
    <row r="9" spans="1:11" ht="15" customHeight="1">
      <c r="A9" s="211"/>
      <c r="B9" s="213"/>
      <c r="C9" s="127"/>
      <c r="D9" s="127"/>
      <c r="E9" s="127"/>
      <c r="F9" s="127"/>
      <c r="G9" s="127"/>
      <c r="H9" s="127"/>
      <c r="I9" s="127"/>
      <c r="J9" s="127"/>
      <c r="K9" s="128"/>
    </row>
    <row r="10" spans="1:11" ht="15" customHeight="1">
      <c r="A10" s="211"/>
      <c r="B10" s="330" t="s">
        <v>106</v>
      </c>
      <c r="C10" s="331"/>
      <c r="D10" s="331"/>
      <c r="E10" s="332"/>
      <c r="F10" s="330" t="s">
        <v>107</v>
      </c>
      <c r="G10" s="331"/>
      <c r="H10" s="332"/>
      <c r="I10" s="201" t="s">
        <v>108</v>
      </c>
      <c r="J10" s="127"/>
      <c r="K10" s="128"/>
    </row>
    <row r="11" spans="1:11" ht="15" customHeight="1" thickBot="1">
      <c r="A11" s="211"/>
      <c r="B11" s="214" t="str">
        <f>D3</f>
        <v>UGX</v>
      </c>
      <c r="C11" s="214" t="str">
        <f>D4</f>
        <v>USD</v>
      </c>
      <c r="D11" s="214" t="s">
        <v>109</v>
      </c>
      <c r="E11" s="214" t="s">
        <v>110</v>
      </c>
      <c r="F11" s="215" t="str">
        <f>_xlfn.CONCAT(C11,"/kg")</f>
        <v>USD/kg</v>
      </c>
      <c r="G11" s="215" t="s">
        <v>111</v>
      </c>
      <c r="H11" s="215" t="s">
        <v>112</v>
      </c>
      <c r="I11" s="214" t="str">
        <f>_xlfn.CONCAT(C11,"/m3")</f>
        <v>USD/m3</v>
      </c>
      <c r="J11" s="211"/>
      <c r="K11" s="128"/>
    </row>
    <row r="12" spans="1:11" ht="15" customHeight="1" thickTop="1">
      <c r="A12" s="211"/>
      <c r="B12" s="194">
        <v>185000</v>
      </c>
      <c r="C12" s="200">
        <f>IFERROR(B12/D5, 0)</f>
        <v>52.857142857142854</v>
      </c>
      <c r="D12" s="194">
        <v>0.45</v>
      </c>
      <c r="E12" s="137">
        <v>0.9</v>
      </c>
      <c r="F12" s="200">
        <f>C12/ D12*E12</f>
        <v>105.71428571428571</v>
      </c>
      <c r="G12" s="194">
        <v>1.5</v>
      </c>
      <c r="H12" s="216">
        <f>G12/1000</f>
        <v>1.5E-3</v>
      </c>
      <c r="I12" s="200">
        <f>F12*H12</f>
        <v>0.15857142857142856</v>
      </c>
      <c r="J12" s="211"/>
      <c r="K12" s="128"/>
    </row>
    <row r="13" spans="1:11" ht="15" customHeight="1">
      <c r="A13" s="211"/>
      <c r="B13" s="127"/>
      <c r="C13" s="127"/>
      <c r="D13" s="127"/>
      <c r="E13" s="127"/>
      <c r="F13" s="127"/>
      <c r="G13" s="127"/>
      <c r="H13" s="127"/>
      <c r="I13" s="127"/>
      <c r="J13" s="175"/>
      <c r="K13" s="128"/>
    </row>
    <row r="14" spans="1:11" ht="15" customHeight="1">
      <c r="A14" s="211"/>
      <c r="B14" s="127"/>
      <c r="C14" s="127"/>
      <c r="D14" s="127"/>
      <c r="E14" s="127"/>
      <c r="F14" s="127"/>
      <c r="G14" s="127"/>
      <c r="H14" s="127"/>
      <c r="I14" s="127"/>
      <c r="J14" s="175"/>
      <c r="K14" s="128"/>
    </row>
    <row r="15" spans="1:11" ht="15" customHeight="1">
      <c r="A15" s="211"/>
      <c r="B15" s="127"/>
      <c r="C15" s="127"/>
      <c r="D15" s="127"/>
      <c r="E15" s="127"/>
      <c r="F15" s="127"/>
      <c r="G15" s="127"/>
      <c r="H15" s="127"/>
      <c r="I15" s="127"/>
      <c r="J15" s="127"/>
      <c r="K15" s="128"/>
    </row>
    <row r="16" spans="1:11" ht="15" customHeight="1">
      <c r="A16" s="211"/>
      <c r="B16" s="333" t="s">
        <v>113</v>
      </c>
      <c r="C16" s="334"/>
      <c r="D16" s="335"/>
      <c r="E16" s="187" t="s">
        <v>43</v>
      </c>
      <c r="F16" s="145" t="str">
        <f>'Financial Sustainability Work'!C28</f>
        <v>Oui/Non</v>
      </c>
      <c r="G16" s="127"/>
      <c r="H16" s="127"/>
      <c r="I16" s="127"/>
      <c r="J16" s="127"/>
      <c r="K16" s="128"/>
    </row>
    <row r="17" spans="1:11" ht="15" customHeight="1">
      <c r="A17" s="211"/>
      <c r="B17" s="213"/>
      <c r="C17" s="127"/>
      <c r="D17" s="127"/>
      <c r="E17" s="127"/>
      <c r="F17" s="127"/>
      <c r="G17" s="127"/>
      <c r="H17" s="127"/>
      <c r="I17" s="127"/>
      <c r="J17" s="127"/>
      <c r="K17" s="128"/>
    </row>
    <row r="18" spans="1:11" ht="35.25" customHeight="1">
      <c r="A18" s="211"/>
      <c r="B18" s="404" t="s">
        <v>114</v>
      </c>
      <c r="C18" s="330" t="s">
        <v>115</v>
      </c>
      <c r="D18" s="332"/>
      <c r="E18" s="330" t="s">
        <v>116</v>
      </c>
      <c r="F18" s="331"/>
      <c r="G18" s="332"/>
      <c r="H18" s="127"/>
      <c r="I18" s="201" t="s">
        <v>108</v>
      </c>
      <c r="J18" s="201" t="s">
        <v>108</v>
      </c>
      <c r="K18" s="128"/>
    </row>
    <row r="19" spans="1:11" ht="15" customHeight="1" thickBot="1">
      <c r="A19" s="211"/>
      <c r="B19" s="214" t="s">
        <v>117</v>
      </c>
      <c r="C19" s="214" t="str">
        <f>_xlfn.CONCAT($D$3, "/L")</f>
        <v>UGX/L</v>
      </c>
      <c r="D19" s="214" t="str">
        <f>_xlfn.CONCAT($D$4, "/L")</f>
        <v>USD/L</v>
      </c>
      <c r="E19" s="338" t="s">
        <v>118</v>
      </c>
      <c r="F19" s="339"/>
      <c r="G19" s="217" t="s">
        <v>119</v>
      </c>
      <c r="H19" s="127"/>
      <c r="I19" s="214" t="str">
        <f>_xlfn.CONCAT($D$3, "/jour")</f>
        <v>UGX/jour</v>
      </c>
      <c r="J19" s="214" t="str">
        <f>_xlfn.CONCAT($D$3, "/mois")</f>
        <v>UGX/mois</v>
      </c>
      <c r="K19" s="128"/>
    </row>
    <row r="20" spans="1:11" ht="15" customHeight="1" thickTop="1">
      <c r="A20" s="211"/>
      <c r="B20" s="194">
        <v>3</v>
      </c>
      <c r="C20" s="194"/>
      <c r="D20" s="218">
        <v>1.2</v>
      </c>
      <c r="E20" s="340">
        <v>12</v>
      </c>
      <c r="F20" s="341"/>
      <c r="G20" s="219">
        <v>0.3</v>
      </c>
      <c r="H20" s="127"/>
      <c r="I20" s="220">
        <f>IF(C20&gt;0, C20*E20*G20*B20, D20*D5*E20*G20*B20)</f>
        <v>45360</v>
      </c>
      <c r="J20" s="221">
        <f>I20*30.735</f>
        <v>1394139.5999999999</v>
      </c>
      <c r="K20" s="128"/>
    </row>
    <row r="21" spans="1:11" ht="15" customHeight="1" thickBot="1">
      <c r="A21" s="211"/>
      <c r="B21" s="127"/>
      <c r="C21" s="127"/>
      <c r="D21" s="127"/>
      <c r="E21" s="127"/>
      <c r="F21" s="127"/>
      <c r="G21" s="127"/>
      <c r="H21" s="127"/>
      <c r="I21" s="214" t="str">
        <f>_xlfn.CONCAT($D$4, "/jour")</f>
        <v>USD/jour</v>
      </c>
      <c r="J21" s="214" t="str">
        <f>_xlfn.CONCAT($D$4, "/mois")</f>
        <v>USD/mois</v>
      </c>
      <c r="K21" s="128"/>
    </row>
    <row r="22" spans="1:11" ht="15" customHeight="1" thickTop="1">
      <c r="A22" s="211"/>
      <c r="B22" s="127"/>
      <c r="C22" s="127"/>
      <c r="D22" s="127"/>
      <c r="E22" s="127"/>
      <c r="F22" s="127"/>
      <c r="G22" s="127"/>
      <c r="H22" s="127"/>
      <c r="I22" s="200">
        <f>I20/D5</f>
        <v>12.96</v>
      </c>
      <c r="J22" s="222">
        <f>I22*30.4375</f>
        <v>394.47</v>
      </c>
      <c r="K22" s="128"/>
    </row>
    <row r="23" spans="1:11" ht="15" customHeight="1">
      <c r="A23" s="211"/>
      <c r="B23" s="127"/>
      <c r="C23" s="127"/>
      <c r="D23" s="127"/>
      <c r="E23" s="127"/>
      <c r="F23" s="127"/>
      <c r="G23" s="127"/>
      <c r="H23" s="127"/>
      <c r="I23" s="175"/>
      <c r="J23" s="157"/>
      <c r="K23" s="128"/>
    </row>
    <row r="24" spans="1:11" ht="15" customHeight="1">
      <c r="A24" s="211"/>
      <c r="B24" s="333" t="s">
        <v>120</v>
      </c>
      <c r="C24" s="334"/>
      <c r="D24" s="335"/>
      <c r="E24" s="157" t="s">
        <v>43</v>
      </c>
      <c r="F24" s="145" t="str">
        <f>'Financial Sustainability Work'!C29</f>
        <v>Oui/Non</v>
      </c>
      <c r="G24" s="127"/>
      <c r="H24" s="127"/>
      <c r="I24" s="127"/>
      <c r="J24" s="127"/>
      <c r="K24" s="128"/>
    </row>
    <row r="25" spans="1:11" ht="15" customHeight="1">
      <c r="A25" s="211"/>
      <c r="B25" s="213"/>
      <c r="C25" s="127"/>
      <c r="D25" s="127"/>
      <c r="E25" s="127"/>
      <c r="F25" s="127"/>
      <c r="G25" s="127"/>
      <c r="H25" s="127"/>
      <c r="I25" s="127"/>
      <c r="J25" s="127"/>
      <c r="K25" s="128"/>
    </row>
    <row r="26" spans="1:11" ht="15" customHeight="1">
      <c r="A26" s="211"/>
      <c r="B26" s="201" t="s">
        <v>121</v>
      </c>
      <c r="C26" s="330" t="s">
        <v>122</v>
      </c>
      <c r="D26" s="332"/>
      <c r="E26" s="330" t="s">
        <v>123</v>
      </c>
      <c r="F26" s="332"/>
      <c r="G26" s="223" t="s">
        <v>124</v>
      </c>
      <c r="H26" s="127"/>
      <c r="I26" s="201" t="s">
        <v>108</v>
      </c>
      <c r="J26" s="201" t="s">
        <v>108</v>
      </c>
      <c r="K26" s="128"/>
    </row>
    <row r="27" spans="1:11" ht="15" customHeight="1" thickBot="1">
      <c r="A27" s="211"/>
      <c r="B27" s="215" t="s">
        <v>117</v>
      </c>
      <c r="C27" s="214" t="str">
        <f>_xlfn.CONCAT($D$3, "/kWh")</f>
        <v>UGX/kWh</v>
      </c>
      <c r="D27" s="215" t="str">
        <f>_xlfn.CONCAT($D$4, "/kWh")</f>
        <v>USD/kWh</v>
      </c>
      <c r="E27" s="338" t="s">
        <v>118</v>
      </c>
      <c r="F27" s="339"/>
      <c r="G27" s="215" t="s">
        <v>37</v>
      </c>
      <c r="H27" s="127"/>
      <c r="I27" s="214" t="str">
        <f>_xlfn.CONCAT($D$3, "/jour")</f>
        <v>UGX/jour</v>
      </c>
      <c r="J27" s="214" t="str">
        <f>_xlfn.CONCAT($D$3, "/mois")</f>
        <v>UGX/mois</v>
      </c>
      <c r="K27" s="128"/>
    </row>
    <row r="28" spans="1:11" ht="15" customHeight="1" thickTop="1">
      <c r="A28" s="211"/>
      <c r="B28" s="194">
        <v>1.4</v>
      </c>
      <c r="C28" s="194"/>
      <c r="D28" s="218">
        <v>0.1</v>
      </c>
      <c r="E28" s="336">
        <v>2</v>
      </c>
      <c r="F28" s="337"/>
      <c r="G28" s="221">
        <f>'Financial Sustainability Work'!E23</f>
        <v>0</v>
      </c>
      <c r="H28" s="127"/>
      <c r="I28" s="220">
        <f>B28*IF(C28=0, D28*D5, C28)*E28</f>
        <v>979.99999999999989</v>
      </c>
      <c r="J28" s="221">
        <f>I28*30.735</f>
        <v>30120.299999999996</v>
      </c>
      <c r="K28" s="128"/>
    </row>
    <row r="29" spans="1:11" ht="15" customHeight="1" thickBot="1">
      <c r="A29" s="211"/>
      <c r="B29" s="127"/>
      <c r="C29" s="127"/>
      <c r="D29" s="127"/>
      <c r="E29" s="127"/>
      <c r="F29" s="127"/>
      <c r="G29" s="127"/>
      <c r="H29" s="127"/>
      <c r="I29" s="214" t="str">
        <f>_xlfn.CONCAT($D$4, "/jour")</f>
        <v>USD/jour</v>
      </c>
      <c r="J29" s="214" t="str">
        <f>_xlfn.CONCAT($D$4, "/mois")</f>
        <v>USD/mois</v>
      </c>
      <c r="K29" s="128"/>
    </row>
    <row r="30" spans="1:11" ht="15" customHeight="1" thickTop="1">
      <c r="A30" s="211"/>
      <c r="B30" s="127"/>
      <c r="C30" s="127"/>
      <c r="D30" s="127"/>
      <c r="E30" s="127"/>
      <c r="F30" s="127"/>
      <c r="G30" s="127"/>
      <c r="H30" s="127"/>
      <c r="I30" s="200">
        <f>B28*IF(C28=0, D28, C28/D5)*E28</f>
        <v>0.27999999999999997</v>
      </c>
      <c r="J30" s="224">
        <f>I30*30.4375</f>
        <v>8.5224999999999991</v>
      </c>
      <c r="K30" s="128"/>
    </row>
    <row r="31" spans="1:11" ht="15" customHeight="1">
      <c r="A31" s="211"/>
      <c r="B31" s="127"/>
      <c r="C31" s="127"/>
      <c r="D31" s="187"/>
      <c r="E31" s="225"/>
      <c r="F31" s="127"/>
      <c r="G31" s="127"/>
      <c r="H31" s="127"/>
      <c r="I31" s="175"/>
      <c r="J31" s="226"/>
      <c r="K31" s="128"/>
    </row>
    <row r="32" spans="1:11" ht="15" customHeight="1">
      <c r="A32" s="211"/>
      <c r="B32" s="127"/>
      <c r="C32" s="127"/>
      <c r="D32" s="187"/>
      <c r="E32" s="225"/>
      <c r="F32" s="127"/>
      <c r="G32" s="127"/>
      <c r="H32" s="127"/>
      <c r="I32" s="175"/>
      <c r="J32" s="226"/>
      <c r="K32" s="128"/>
    </row>
    <row r="33" spans="1:11" ht="15" customHeight="1">
      <c r="A33" s="211"/>
      <c r="B33" s="127"/>
      <c r="C33" s="127"/>
      <c r="D33" s="127"/>
      <c r="E33" s="127"/>
      <c r="F33" s="127"/>
      <c r="G33" s="127"/>
      <c r="H33" s="127"/>
      <c r="I33" s="127"/>
      <c r="J33" s="127"/>
      <c r="K33" s="128"/>
    </row>
    <row r="34" spans="1:11" ht="26.25" customHeight="1">
      <c r="A34" s="211"/>
      <c r="B34" s="405" t="s">
        <v>125</v>
      </c>
      <c r="C34" s="406"/>
      <c r="D34" s="407"/>
      <c r="E34" s="187" t="s">
        <v>43</v>
      </c>
      <c r="F34" s="145" t="str">
        <f>'Financial Sustainability Work'!C38</f>
        <v>Oui/Non</v>
      </c>
      <c r="G34" s="127"/>
      <c r="H34" s="127"/>
      <c r="I34" s="201" t="s">
        <v>108</v>
      </c>
      <c r="J34" s="201" t="s">
        <v>108</v>
      </c>
      <c r="K34" s="128"/>
    </row>
    <row r="35" spans="1:11" ht="15" customHeight="1" thickBot="1">
      <c r="A35" s="211"/>
      <c r="B35" s="213"/>
      <c r="C35" s="127"/>
      <c r="D35" s="127"/>
      <c r="E35" s="127"/>
      <c r="F35" s="127"/>
      <c r="G35" s="127"/>
      <c r="H35" s="127"/>
      <c r="I35" s="214" t="str">
        <f>_xlfn.CONCAT($D$3, "/mois")</f>
        <v>UGX/mois</v>
      </c>
      <c r="J35" s="214" t="str">
        <f>_xlfn.CONCAT($D$3, "/an")</f>
        <v>UGX/an</v>
      </c>
      <c r="K35" s="128"/>
    </row>
    <row r="36" spans="1:11" ht="15" customHeight="1" thickTop="1">
      <c r="A36" s="211"/>
      <c r="B36" s="353" t="s">
        <v>126</v>
      </c>
      <c r="C36" s="353"/>
      <c r="D36" s="353"/>
      <c r="E36" s="353"/>
      <c r="F36" s="227">
        <v>12</v>
      </c>
      <c r="G36" s="127"/>
      <c r="H36" s="127"/>
      <c r="I36" s="221">
        <f>J36/12</f>
        <v>120000</v>
      </c>
      <c r="J36" s="221">
        <f>F36*F37*F38</f>
        <v>1440000</v>
      </c>
      <c r="K36" s="128"/>
    </row>
    <row r="37" spans="1:11" ht="29.25" customHeight="1" thickBot="1">
      <c r="A37" s="211"/>
      <c r="B37" s="408" t="s">
        <v>127</v>
      </c>
      <c r="C37" s="408"/>
      <c r="D37" s="408"/>
      <c r="E37" s="408"/>
      <c r="F37" s="227">
        <v>2</v>
      </c>
      <c r="G37" s="127"/>
      <c r="H37" s="127"/>
      <c r="I37" s="214" t="str">
        <f>_xlfn.CONCAT($D$4, "/mois")</f>
        <v>USD/mois</v>
      </c>
      <c r="J37" s="214" t="str">
        <f>_xlfn.CONCAT($D$4, "/an")</f>
        <v>USD/an</v>
      </c>
      <c r="K37" s="128"/>
    </row>
    <row r="38" spans="1:11" ht="15" customHeight="1" thickTop="1">
      <c r="A38" s="211"/>
      <c r="B38" s="353" t="str">
        <f>_xlfn.CONCAT("Cost per Support Visit Labor Day (",B11,"/day)")</f>
        <v>Cost per Support Visit Labor Day (UGX/day)</v>
      </c>
      <c r="C38" s="353"/>
      <c r="D38" s="353"/>
      <c r="E38" s="353"/>
      <c r="F38" s="228">
        <v>60000</v>
      </c>
      <c r="G38" s="127"/>
      <c r="H38" s="127"/>
      <c r="I38" s="224">
        <f>J38/12</f>
        <v>34.285714285714285</v>
      </c>
      <c r="J38" s="224">
        <f>J36/$D$5</f>
        <v>411.42857142857144</v>
      </c>
      <c r="K38" s="128"/>
    </row>
    <row r="39" spans="1:11" ht="15" customHeight="1">
      <c r="A39" s="211"/>
      <c r="B39" s="229"/>
      <c r="C39" s="229"/>
      <c r="D39" s="229"/>
      <c r="E39" s="229"/>
      <c r="F39" s="229"/>
      <c r="G39" s="229"/>
      <c r="H39" s="229"/>
      <c r="I39" s="229"/>
      <c r="J39" s="229"/>
      <c r="K39" s="128"/>
    </row>
    <row r="40" spans="1:11" ht="15" customHeight="1">
      <c r="A40" s="211"/>
      <c r="B40" s="229"/>
      <c r="C40" s="229"/>
      <c r="D40" s="229"/>
      <c r="E40" s="229"/>
      <c r="F40" s="229"/>
      <c r="G40" s="229"/>
      <c r="H40" s="229"/>
      <c r="I40" s="229"/>
      <c r="J40" s="229"/>
      <c r="K40" s="128"/>
    </row>
    <row r="41" spans="1:11" ht="24.75" customHeight="1">
      <c r="A41" s="211"/>
      <c r="B41" s="405" t="s">
        <v>128</v>
      </c>
      <c r="C41" s="406"/>
      <c r="D41" s="407"/>
      <c r="E41" s="187" t="s">
        <v>43</v>
      </c>
      <c r="F41" s="145" t="str">
        <f>'Financial Sustainability Work'!E8</f>
        <v>Oui/Non</v>
      </c>
      <c r="G41" s="230"/>
      <c r="H41" s="229"/>
      <c r="I41" s="229"/>
      <c r="J41" s="229"/>
      <c r="K41" s="128"/>
    </row>
    <row r="42" spans="1:11" ht="15" customHeight="1">
      <c r="A42" s="211"/>
      <c r="B42" s="229"/>
      <c r="C42" s="229"/>
      <c r="D42" s="229"/>
      <c r="E42" s="229"/>
      <c r="F42" s="229"/>
      <c r="G42" s="229"/>
      <c r="H42" s="229"/>
      <c r="I42" s="229"/>
      <c r="J42" s="229"/>
      <c r="K42" s="128"/>
    </row>
    <row r="43" spans="1:11" ht="15" customHeight="1">
      <c r="A43" s="211"/>
      <c r="B43" s="229"/>
      <c r="C43" s="229"/>
      <c r="D43" s="229"/>
      <c r="E43" s="229"/>
      <c r="F43" s="351" t="s">
        <v>129</v>
      </c>
      <c r="G43" s="351"/>
      <c r="H43" s="346" t="s">
        <v>130</v>
      </c>
      <c r="I43" s="229"/>
      <c r="J43" s="127"/>
      <c r="K43" s="128"/>
    </row>
    <row r="44" spans="1:11" ht="15" customHeight="1" thickBot="1">
      <c r="A44" s="211"/>
      <c r="B44" s="229"/>
      <c r="C44" s="229"/>
      <c r="D44" s="349" t="s">
        <v>131</v>
      </c>
      <c r="E44" s="350"/>
      <c r="F44" s="214" t="str">
        <f>D3</f>
        <v>UGX</v>
      </c>
      <c r="G44" s="214" t="str">
        <f>D4</f>
        <v>USD</v>
      </c>
      <c r="H44" s="347"/>
      <c r="I44" s="229"/>
      <c r="J44" s="127"/>
      <c r="K44" s="128"/>
    </row>
    <row r="45" spans="1:11" ht="30" customHeight="1" thickTop="1">
      <c r="A45" s="211"/>
      <c r="B45" s="344" t="s">
        <v>132</v>
      </c>
      <c r="C45" s="344"/>
      <c r="D45" s="352" t="str">
        <f>'Financial Sustainability Work'!E60</f>
        <v>Sélection dans le menu déroulant</v>
      </c>
      <c r="E45" s="352"/>
      <c r="F45" s="409" t="s">
        <v>133</v>
      </c>
      <c r="G45" s="410"/>
      <c r="H45" s="348"/>
      <c r="I45" s="229"/>
      <c r="J45" s="127"/>
      <c r="K45" s="128"/>
    </row>
    <row r="46" spans="1:11" ht="15" customHeight="1">
      <c r="A46" s="211"/>
      <c r="B46" s="344" t="s">
        <v>134</v>
      </c>
      <c r="C46" s="344"/>
      <c r="D46" s="345" t="s">
        <v>135</v>
      </c>
      <c r="E46" s="345"/>
      <c r="F46" s="232">
        <v>20000</v>
      </c>
      <c r="G46" s="233">
        <f>IFERROR(IF(F46&gt;0, F46/$D$5, ""), "")</f>
        <v>5.7142857142857144</v>
      </c>
      <c r="H46" s="234">
        <v>20000</v>
      </c>
      <c r="I46" s="229"/>
      <c r="J46" s="127"/>
      <c r="K46" s="128"/>
    </row>
    <row r="47" spans="1:11" ht="15" customHeight="1">
      <c r="A47" s="211"/>
      <c r="B47" s="344" t="s">
        <v>136</v>
      </c>
      <c r="C47" s="344"/>
      <c r="D47" s="345"/>
      <c r="E47" s="345"/>
      <c r="F47" s="232">
        <v>0</v>
      </c>
      <c r="G47" s="233" t="str">
        <f>IF(F47&gt;0, F47/$D$5, "")</f>
        <v/>
      </c>
      <c r="H47" s="235"/>
      <c r="I47" s="229"/>
      <c r="J47" s="127"/>
      <c r="K47" s="128"/>
    </row>
    <row r="48" spans="1:11" ht="15" customHeight="1">
      <c r="A48" s="211"/>
      <c r="B48" s="344" t="s">
        <v>136</v>
      </c>
      <c r="C48" s="344"/>
      <c r="D48" s="345"/>
      <c r="E48" s="345"/>
      <c r="F48" s="232">
        <v>0</v>
      </c>
      <c r="G48" s="233" t="str">
        <f>IF(F48&gt;0, F48/$D$5, "")</f>
        <v/>
      </c>
      <c r="H48" s="235"/>
      <c r="I48" s="229"/>
      <c r="J48" s="127"/>
      <c r="K48" s="128"/>
    </row>
    <row r="49" spans="1:11" ht="15" customHeight="1">
      <c r="A49" s="211"/>
      <c r="B49" s="229"/>
      <c r="C49" s="229"/>
      <c r="D49" s="229"/>
      <c r="E49" s="229"/>
      <c r="F49" s="229"/>
      <c r="G49" s="229"/>
      <c r="H49" s="229"/>
      <c r="I49" s="229"/>
      <c r="J49" s="229"/>
      <c r="K49" s="128"/>
    </row>
    <row r="50" spans="1:11" ht="15" customHeight="1">
      <c r="A50" s="211"/>
      <c r="B50" s="229"/>
      <c r="C50" s="229"/>
      <c r="D50" s="229"/>
      <c r="E50" s="229"/>
      <c r="F50" s="229"/>
      <c r="G50" s="229"/>
      <c r="H50" s="229"/>
      <c r="I50" s="229"/>
      <c r="J50" s="229"/>
      <c r="K50" s="128"/>
    </row>
    <row r="51" spans="1:11" ht="15" customHeight="1">
      <c r="A51" s="211"/>
      <c r="B51" s="212" t="s">
        <v>137</v>
      </c>
      <c r="C51" s="236"/>
      <c r="D51" s="236"/>
      <c r="E51" s="187" t="s">
        <v>43</v>
      </c>
      <c r="F51" s="145" t="str">
        <f>'Financial Sustainability Work'!C28</f>
        <v>Oui/Non</v>
      </c>
      <c r="G51" s="229"/>
      <c r="H51" s="229"/>
      <c r="I51" s="229"/>
      <c r="J51" s="229"/>
      <c r="K51" s="128"/>
    </row>
    <row r="52" spans="1:11" ht="15" customHeight="1">
      <c r="A52" s="211"/>
      <c r="B52" s="229"/>
      <c r="C52" s="229"/>
      <c r="D52" s="229"/>
      <c r="E52" s="229"/>
      <c r="F52" s="229"/>
      <c r="G52" s="229"/>
      <c r="H52" s="229"/>
      <c r="I52" s="229"/>
      <c r="J52" s="229"/>
      <c r="K52" s="128"/>
    </row>
    <row r="53" spans="1:11" ht="15" customHeight="1">
      <c r="A53" s="211"/>
      <c r="B53" s="352" t="s">
        <v>115</v>
      </c>
      <c r="C53" s="352"/>
      <c r="D53" s="231" t="s">
        <v>138</v>
      </c>
      <c r="E53" s="231" t="s">
        <v>139</v>
      </c>
      <c r="F53" s="231" t="s">
        <v>140</v>
      </c>
      <c r="G53" s="229"/>
      <c r="H53" s="342" t="s">
        <v>141</v>
      </c>
      <c r="I53" s="231" t="s">
        <v>142</v>
      </c>
      <c r="J53" s="231" t="s">
        <v>143</v>
      </c>
      <c r="K53" s="128"/>
    </row>
    <row r="54" spans="1:11" ht="15" customHeight="1" thickBot="1">
      <c r="A54" s="211"/>
      <c r="B54" s="237" t="str">
        <f>_xlfn.CONCAT($D$3, "/L")</f>
        <v>UGX/L</v>
      </c>
      <c r="C54" s="237" t="str">
        <f>_xlfn.CONCAT($D$4, "/L")</f>
        <v>USD/L</v>
      </c>
      <c r="D54" s="237" t="s">
        <v>144</v>
      </c>
      <c r="E54" s="237" t="s">
        <v>145</v>
      </c>
      <c r="F54" s="238" t="str">
        <f>_xlfn.CONCAT(D3, "/month")</f>
        <v>UGX/month</v>
      </c>
      <c r="G54" s="229"/>
      <c r="H54" s="343"/>
      <c r="I54" s="237" t="str">
        <f>_xlfn.CONCAT(D3, "/m3")</f>
        <v>UGX/m3</v>
      </c>
      <c r="J54" s="237" t="str">
        <f>_xlfn.CONCAT(D3, "/récipient")</f>
        <v>UGX/récipient</v>
      </c>
      <c r="K54" s="128"/>
    </row>
    <row r="55" spans="1:11" ht="15" customHeight="1" thickTop="1">
      <c r="A55" s="211"/>
      <c r="B55" s="239"/>
      <c r="C55" s="239">
        <v>1.05</v>
      </c>
      <c r="D55" s="240">
        <v>8</v>
      </c>
      <c r="E55" s="241">
        <v>500</v>
      </c>
      <c r="F55" s="242">
        <f>IF(B55&gt;0, B55/D55*E55, C55*D5/D55*E55)</f>
        <v>229687.5</v>
      </c>
      <c r="G55" s="229"/>
      <c r="H55" s="243">
        <v>1</v>
      </c>
      <c r="I55" s="244" t="str">
        <f>IFERROR(J55/'Financial Sustainability Work'!E14*1000, "")</f>
        <v/>
      </c>
      <c r="J55" s="245" t="str">
        <f>IFERROR((F55+D61*D5/C61/12+IF(G61&gt;0, G61, F61/12)+IF(J61&gt;0, J61, I61))/('Financial Sustainability Work'!F23*30*H55), "")</f>
        <v/>
      </c>
      <c r="K55" s="128"/>
    </row>
    <row r="56" spans="1:11" ht="15" customHeight="1" thickBot="1">
      <c r="A56" s="211"/>
      <c r="B56" s="229"/>
      <c r="C56" s="229"/>
      <c r="D56" s="229"/>
      <c r="E56" s="229"/>
      <c r="F56" s="246" t="str">
        <f>_xlfn.CONCAT(D4, "/month")</f>
        <v>USD/month</v>
      </c>
      <c r="G56" s="229"/>
      <c r="H56" s="229"/>
      <c r="I56" s="237" t="str">
        <f>_xlfn.CONCAT(D4, "/m3")</f>
        <v>USD/m3</v>
      </c>
      <c r="J56" s="237" t="str">
        <f>_xlfn.CONCAT(D4, "/récipient")</f>
        <v>USD/récipient</v>
      </c>
      <c r="K56" s="128"/>
    </row>
    <row r="57" spans="1:11" ht="15" customHeight="1" thickTop="1">
      <c r="A57" s="211"/>
      <c r="B57" s="229"/>
      <c r="C57" s="229"/>
      <c r="D57" s="229"/>
      <c r="E57" s="229"/>
      <c r="F57" s="247">
        <f>IFERROR(F55/$D$5, "")</f>
        <v>65.625</v>
      </c>
      <c r="G57" s="229"/>
      <c r="H57" s="229"/>
      <c r="I57" s="248" t="str">
        <f>IFERROR(I55/$D$5, "")</f>
        <v/>
      </c>
      <c r="J57" s="249" t="str">
        <f>IFERROR(J55/$D$5, "")</f>
        <v/>
      </c>
      <c r="K57" s="128"/>
    </row>
    <row r="58" spans="1:11" ht="15" customHeight="1">
      <c r="A58" s="211"/>
      <c r="B58" s="229"/>
      <c r="C58" s="229"/>
      <c r="D58" s="229"/>
      <c r="E58" s="229"/>
      <c r="F58" s="229"/>
      <c r="G58" s="229"/>
      <c r="H58" s="229"/>
      <c r="I58" s="229"/>
      <c r="J58" s="229"/>
      <c r="K58" s="128"/>
    </row>
    <row r="59" spans="1:11" ht="15" customHeight="1">
      <c r="A59" s="211"/>
      <c r="B59" s="229"/>
      <c r="C59" s="231" t="s">
        <v>146</v>
      </c>
      <c r="D59" s="231" t="s">
        <v>147</v>
      </c>
      <c r="E59" s="229"/>
      <c r="F59" s="250" t="s">
        <v>90</v>
      </c>
      <c r="G59" s="229"/>
      <c r="H59" s="229"/>
      <c r="I59" s="231" t="s">
        <v>148</v>
      </c>
      <c r="J59" s="251"/>
      <c r="K59" s="128"/>
    </row>
    <row r="60" spans="1:11" ht="15" customHeight="1" thickBot="1">
      <c r="A60" s="211"/>
      <c r="B60" s="229"/>
      <c r="C60" s="237" t="s">
        <v>149</v>
      </c>
      <c r="D60" s="237" t="str">
        <f>D4</f>
        <v>USD</v>
      </c>
      <c r="E60" s="229"/>
      <c r="F60" s="237" t="str">
        <f>_xlfn.CONCAT(D3, "/an")</f>
        <v>UGX/an</v>
      </c>
      <c r="G60" s="214" t="str">
        <f>IFERROR(_xlfn.CONCAT(D3, "/mois"), "")</f>
        <v>UGX/mois</v>
      </c>
      <c r="H60" s="229"/>
      <c r="I60" s="237" t="str">
        <f>_xlfn.CONCAT(D3, "/an")</f>
        <v>UGX/an</v>
      </c>
      <c r="J60" s="214" t="str">
        <f>IFERROR(_xlfn.CONCAT(D3, "/mois"), "")</f>
        <v>UGX/mois</v>
      </c>
      <c r="K60" s="128"/>
    </row>
    <row r="61" spans="1:11" ht="15" customHeight="1" thickTop="1">
      <c r="A61" s="211"/>
      <c r="B61" s="229"/>
      <c r="C61" s="252">
        <v>10</v>
      </c>
      <c r="D61" s="253">
        <v>3000</v>
      </c>
      <c r="E61" s="229"/>
      <c r="F61" s="254"/>
      <c r="G61" s="255">
        <v>2000</v>
      </c>
      <c r="H61" s="229"/>
      <c r="I61" s="254">
        <v>2000</v>
      </c>
      <c r="J61" s="255"/>
      <c r="K61" s="128"/>
    </row>
    <row r="62" spans="1:11" ht="15" customHeight="1">
      <c r="A62" s="211"/>
      <c r="B62" s="229"/>
      <c r="C62" s="229"/>
      <c r="D62" s="229"/>
      <c r="E62" s="229"/>
      <c r="F62" s="229"/>
      <c r="G62" s="229"/>
      <c r="H62" s="256"/>
      <c r="I62" s="256"/>
      <c r="J62" s="256"/>
      <c r="K62" s="128"/>
    </row>
    <row r="63" spans="1:11" ht="15" customHeight="1">
      <c r="A63" s="257"/>
      <c r="B63" s="183"/>
      <c r="C63" s="183"/>
      <c r="D63" s="183"/>
      <c r="E63" s="183"/>
      <c r="F63" s="183"/>
      <c r="G63" s="183"/>
      <c r="H63" s="183"/>
      <c r="I63" s="183"/>
      <c r="J63" s="183"/>
      <c r="K63" s="184"/>
    </row>
  </sheetData>
  <sheetProtection sheet="1" objects="1" scenarios="1"/>
  <mergeCells count="34">
    <mergeCell ref="B41:D41"/>
    <mergeCell ref="B34:D34"/>
    <mergeCell ref="B36:E36"/>
    <mergeCell ref="B37:E37"/>
    <mergeCell ref="B38:E38"/>
    <mergeCell ref="H53:H54"/>
    <mergeCell ref="B45:C45"/>
    <mergeCell ref="B46:C46"/>
    <mergeCell ref="D46:E46"/>
    <mergeCell ref="B48:C48"/>
    <mergeCell ref="D48:E48"/>
    <mergeCell ref="B47:C47"/>
    <mergeCell ref="D47:E47"/>
    <mergeCell ref="F45:G45"/>
    <mergeCell ref="H43:H45"/>
    <mergeCell ref="D44:E44"/>
    <mergeCell ref="F43:G43"/>
    <mergeCell ref="D45:E45"/>
    <mergeCell ref="B53:C53"/>
    <mergeCell ref="E28:F28"/>
    <mergeCell ref="C18:D18"/>
    <mergeCell ref="E18:G18"/>
    <mergeCell ref="E19:F19"/>
    <mergeCell ref="E20:F20"/>
    <mergeCell ref="C26:D26"/>
    <mergeCell ref="E26:F26"/>
    <mergeCell ref="E27:F27"/>
    <mergeCell ref="B3:C3"/>
    <mergeCell ref="B5:C5"/>
    <mergeCell ref="F10:H10"/>
    <mergeCell ref="B16:D16"/>
    <mergeCell ref="B24:D24"/>
    <mergeCell ref="B4:C4"/>
    <mergeCell ref="B10:E10"/>
  </mergeCells>
  <conditionalFormatting sqref="H46:H48">
    <cfRule type="containsText" dxfId="20" priority="1" operator="containsText" text="0000">
      <formula>NOT(ISERROR(SEARCH("0000",H46)))</formula>
    </cfRule>
    <cfRule type="notContainsBlanks" dxfId="19" priority="2">
      <formula>LEN(TRIM(H46))&gt;0</formula>
    </cfRule>
  </conditionalFormatting>
  <conditionalFormatting sqref="I20">
    <cfRule type="cellIs" dxfId="18" priority="11" operator="greaterThan">
      <formula>1000</formula>
    </cfRule>
  </conditionalFormatting>
  <conditionalFormatting sqref="I28">
    <cfRule type="cellIs" dxfId="17" priority="10" operator="greaterThan">
      <formula>1000</formula>
    </cfRule>
  </conditionalFormatting>
  <hyperlinks>
    <hyperlink ref="F57" location="'Financial Summary Worksheet'!J29" display="'Financial Summary Worksheet'!J29" xr:uid="{54D724C2-B9B8-4281-B0A2-996F39AFAF58}"/>
    <hyperlink ref="F55" location="'Financial Summary Worksheet'!I29" display="'Financial Summary Worksheet'!I29" xr:uid="{91944D9F-C214-4505-AE74-194F5B639C95}"/>
  </hyperlinks>
  <pageMargins left="0.75" right="0.75" top="0.75" bottom="0.75" header="0.3" footer="0.3"/>
  <pageSetup scale="60" orientation="portrait" r:id="rId1"/>
  <headerFooter>
    <oddHeader>&amp;L&amp;"-,Bold"&amp;K3155A4Example Community - Safe Water Project Operational and Replacement Costs
Page 2: Unit Cost Worksheet&amp;R&amp;G&amp;K00+000j</oddHeader>
    <oddFooter>&amp;L&amp;8&amp;K3155A4&amp;Z&amp;F&amp;R&amp;8&amp;K3155A4(Rev11_) &amp;D</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2F67-3CD3-E64C-8766-C009129F6C15}">
  <dimension ref="A1:D18"/>
  <sheetViews>
    <sheetView tabSelected="1" workbookViewId="0">
      <selection activeCell="D8" sqref="D8"/>
    </sheetView>
  </sheetViews>
  <sheetFormatPr defaultColWidth="11.42578125" defaultRowHeight="15"/>
  <cols>
    <col min="1" max="1" width="25.28515625" customWidth="1"/>
    <col min="2" max="3" width="29.140625" style="114" customWidth="1"/>
  </cols>
  <sheetData>
    <row r="1" spans="1:4" s="261" customFormat="1" ht="24.95" customHeight="1">
      <c r="A1" s="266" t="s">
        <v>66</v>
      </c>
      <c r="B1" s="260"/>
      <c r="C1" s="260"/>
      <c r="D1" s="260"/>
    </row>
    <row r="2" spans="1:4" s="261" customFormat="1" ht="24.95" customHeight="1">
      <c r="A2" s="259"/>
      <c r="B2" s="260"/>
      <c r="C2" s="260"/>
      <c r="D2" s="260"/>
    </row>
    <row r="3" spans="1:4" s="261" customFormat="1" ht="24.95" customHeight="1">
      <c r="A3" s="354" t="s">
        <v>150</v>
      </c>
      <c r="B3" s="354"/>
      <c r="C3" s="262"/>
    </row>
    <row r="4" spans="1:4" s="261" customFormat="1" ht="24.95" customHeight="1">
      <c r="A4" s="354" t="s">
        <v>151</v>
      </c>
      <c r="B4" s="354"/>
      <c r="C4" s="262"/>
    </row>
    <row r="5" spans="1:4" s="261" customFormat="1" ht="24.95" customHeight="1">
      <c r="A5" s="354" t="s">
        <v>152</v>
      </c>
      <c r="B5" s="354"/>
    </row>
    <row r="7" spans="1:4" ht="50.1" customHeight="1">
      <c r="A7" s="263" t="s">
        <v>153</v>
      </c>
      <c r="B7" s="263" t="s">
        <v>154</v>
      </c>
      <c r="C7" s="263" t="s">
        <v>155</v>
      </c>
    </row>
    <row r="8" spans="1:4" s="113" customFormat="1" ht="20.100000000000001" customHeight="1">
      <c r="A8" s="264" t="s">
        <v>156</v>
      </c>
      <c r="B8" s="258" t="s">
        <v>157</v>
      </c>
      <c r="C8" s="258" t="s">
        <v>158</v>
      </c>
    </row>
    <row r="9" spans="1:4" s="113" customFormat="1" ht="41.1" customHeight="1">
      <c r="A9" s="265" t="s">
        <v>159</v>
      </c>
      <c r="B9" s="258">
        <v>3</v>
      </c>
      <c r="C9" s="258" t="s">
        <v>158</v>
      </c>
    </row>
    <row r="10" spans="1:4" s="113" customFormat="1" ht="20.100000000000001" customHeight="1">
      <c r="A10" s="264" t="s">
        <v>160</v>
      </c>
      <c r="B10" s="258" t="s">
        <v>161</v>
      </c>
      <c r="C10" s="258" t="s">
        <v>158</v>
      </c>
    </row>
    <row r="11" spans="1:4" s="113" customFormat="1" ht="20.100000000000001" customHeight="1">
      <c r="A11" s="264" t="s">
        <v>162</v>
      </c>
      <c r="B11" s="258" t="s">
        <v>163</v>
      </c>
      <c r="C11" s="258" t="s">
        <v>158</v>
      </c>
    </row>
    <row r="12" spans="1:4" s="113" customFormat="1" ht="20.100000000000001" customHeight="1">
      <c r="A12" s="264" t="s">
        <v>164</v>
      </c>
      <c r="B12" s="258" t="s">
        <v>163</v>
      </c>
      <c r="C12" s="258" t="s">
        <v>158</v>
      </c>
    </row>
    <row r="13" spans="1:4" s="113" customFormat="1" ht="20.100000000000001" customHeight="1">
      <c r="A13" s="264" t="s">
        <v>165</v>
      </c>
      <c r="B13" s="258" t="s">
        <v>166</v>
      </c>
      <c r="C13" s="258" t="s">
        <v>158</v>
      </c>
    </row>
    <row r="14" spans="1:4" s="113" customFormat="1" ht="20.100000000000001" customHeight="1">
      <c r="A14" s="264" t="s">
        <v>167</v>
      </c>
      <c r="B14" s="258" t="s">
        <v>168</v>
      </c>
      <c r="C14" s="258" t="s">
        <v>158</v>
      </c>
    </row>
    <row r="15" spans="1:4" s="113" customFormat="1" ht="20.100000000000001" customHeight="1">
      <c r="A15" s="264" t="s">
        <v>169</v>
      </c>
      <c r="B15" s="258" t="s">
        <v>170</v>
      </c>
      <c r="C15" s="258" t="s">
        <v>158</v>
      </c>
    </row>
    <row r="16" spans="1:4" s="113" customFormat="1" ht="20.100000000000001" customHeight="1">
      <c r="A16" s="264" t="s">
        <v>171</v>
      </c>
      <c r="B16" s="258" t="s">
        <v>172</v>
      </c>
      <c r="C16" s="258" t="s">
        <v>158</v>
      </c>
    </row>
    <row r="17" spans="1:3" s="113" customFormat="1" ht="20.100000000000001" customHeight="1">
      <c r="A17" s="264" t="s">
        <v>173</v>
      </c>
      <c r="B17" s="258" t="s">
        <v>172</v>
      </c>
      <c r="C17" s="258" t="s">
        <v>158</v>
      </c>
    </row>
    <row r="18" spans="1:3" s="113" customFormat="1" ht="20.100000000000001" customHeight="1">
      <c r="A18" s="264" t="s">
        <v>174</v>
      </c>
      <c r="B18" s="258" t="s">
        <v>175</v>
      </c>
      <c r="C18" s="258" t="s">
        <v>158</v>
      </c>
    </row>
  </sheetData>
  <mergeCells count="3">
    <mergeCell ref="A3:B3"/>
    <mergeCell ref="A4:B4"/>
    <mergeCell ref="A5:B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1"/>
  <sheetViews>
    <sheetView zoomScale="85" zoomScaleNormal="85" zoomScalePageLayoutView="85" workbookViewId="0">
      <selection activeCell="H39" sqref="H39:M39"/>
    </sheetView>
  </sheetViews>
  <sheetFormatPr defaultColWidth="4.7109375" defaultRowHeight="18" customHeight="1"/>
  <cols>
    <col min="1" max="1" width="5.42578125" style="1" customWidth="1"/>
    <col min="2" max="13" width="6.7109375" style="1" customWidth="1"/>
    <col min="14" max="14" width="5.42578125" style="1" customWidth="1"/>
    <col min="15" max="27" width="6.7109375" style="1" customWidth="1"/>
    <col min="28" max="28" width="5.42578125" style="1" customWidth="1"/>
    <col min="29" max="16384" width="4.7109375" style="1"/>
  </cols>
  <sheetData>
    <row r="1" spans="1:26" ht="11.1" customHeight="1">
      <c r="A1" s="2"/>
      <c r="B1" s="3"/>
      <c r="C1" s="3"/>
      <c r="D1" s="3"/>
      <c r="E1" s="3"/>
      <c r="F1" s="3"/>
      <c r="G1" s="3"/>
      <c r="H1" s="3"/>
      <c r="I1" s="3"/>
      <c r="J1" s="3"/>
      <c r="K1" s="3"/>
      <c r="L1" s="3"/>
      <c r="M1" s="4"/>
      <c r="N1" s="2"/>
      <c r="O1" s="3"/>
      <c r="P1" s="3"/>
      <c r="Q1" s="3"/>
      <c r="R1" s="3"/>
      <c r="S1" s="3"/>
      <c r="T1" s="3"/>
      <c r="U1" s="3"/>
      <c r="V1" s="3"/>
      <c r="W1" s="3"/>
      <c r="X1" s="3"/>
      <c r="Y1" s="3"/>
      <c r="Z1" s="4"/>
    </row>
    <row r="2" spans="1:26" ht="17.25" customHeight="1">
      <c r="A2" s="5"/>
      <c r="B2" s="6"/>
      <c r="C2" s="6"/>
      <c r="D2" s="6"/>
      <c r="E2" s="82" t="s">
        <v>176</v>
      </c>
      <c r="F2" s="67" t="s">
        <v>16</v>
      </c>
      <c r="G2" s="68" t="s">
        <v>177</v>
      </c>
      <c r="H2" s="99">
        <f>'Financial Sustainability Work'!F62</f>
        <v>0</v>
      </c>
      <c r="I2" s="6"/>
      <c r="J2" s="6"/>
      <c r="K2" s="6"/>
      <c r="L2" s="6"/>
      <c r="M2" s="7"/>
      <c r="N2" s="5"/>
      <c r="O2" s="98"/>
      <c r="P2" s="6"/>
      <c r="Q2" s="6"/>
      <c r="R2" s="82" t="s">
        <v>176</v>
      </c>
      <c r="S2" s="67" t="str">
        <f>'Financial Sustainability Work'!E9</f>
        <v>UGX</v>
      </c>
      <c r="T2" s="68" t="s">
        <v>177</v>
      </c>
      <c r="U2" s="100">
        <f>'Financial Sustainability Work'!E62</f>
        <v>0</v>
      </c>
      <c r="V2" s="6"/>
      <c r="W2" s="6"/>
      <c r="X2" s="6"/>
      <c r="Y2" s="6"/>
      <c r="Z2" s="7"/>
    </row>
    <row r="3" spans="1:26" ht="11.1" customHeight="1">
      <c r="A3" s="5"/>
      <c r="B3" s="6"/>
      <c r="C3" s="6"/>
      <c r="D3" s="6"/>
      <c r="E3" s="6"/>
      <c r="F3" s="6"/>
      <c r="G3" s="6"/>
      <c r="H3" s="6"/>
      <c r="I3" s="6"/>
      <c r="J3" s="6"/>
      <c r="K3" s="6"/>
      <c r="L3" s="6"/>
      <c r="M3" s="7"/>
      <c r="N3" s="5"/>
      <c r="O3" s="6"/>
      <c r="P3" s="6"/>
      <c r="Q3" s="6"/>
      <c r="R3" s="6"/>
      <c r="S3" s="6"/>
      <c r="T3" s="6"/>
      <c r="U3" s="6"/>
      <c r="V3" s="6"/>
      <c r="W3" s="6"/>
      <c r="X3" s="6"/>
      <c r="Y3" s="6"/>
      <c r="Z3" s="7"/>
    </row>
    <row r="4" spans="1:26" ht="17.25" customHeight="1">
      <c r="A4" s="5"/>
      <c r="B4" s="373" t="s">
        <v>178</v>
      </c>
      <c r="C4" s="373"/>
      <c r="D4" s="373"/>
      <c r="E4" s="373"/>
      <c r="F4" s="67" t="s">
        <v>16</v>
      </c>
      <c r="G4" s="68" t="s">
        <v>179</v>
      </c>
      <c r="H4" s="372" t="s">
        <v>180</v>
      </c>
      <c r="I4" s="372"/>
      <c r="J4" s="69">
        <f>'Financial Sustainability Work'!$E$14</f>
        <v>0</v>
      </c>
      <c r="K4" s="70" t="s">
        <v>22</v>
      </c>
      <c r="L4" s="6"/>
      <c r="M4" s="7"/>
      <c r="N4" s="5"/>
      <c r="O4" s="373" t="s">
        <v>178</v>
      </c>
      <c r="P4" s="373"/>
      <c r="Q4" s="373"/>
      <c r="R4" s="373"/>
      <c r="S4" s="67" t="str">
        <f>'Financial Sustainability Work'!E9</f>
        <v>UGX</v>
      </c>
      <c r="T4" s="68" t="s">
        <v>179</v>
      </c>
      <c r="U4" s="372" t="s">
        <v>180</v>
      </c>
      <c r="V4" s="372"/>
      <c r="W4" s="69">
        <f>'Financial Sustainability Work'!$E$14</f>
        <v>0</v>
      </c>
      <c r="X4" s="70" t="s">
        <v>22</v>
      </c>
      <c r="Y4" s="6"/>
      <c r="Z4" s="7"/>
    </row>
    <row r="5" spans="1:26" ht="17.25" customHeight="1">
      <c r="A5" s="5"/>
      <c r="B5" s="368" t="s">
        <v>181</v>
      </c>
      <c r="C5" s="369"/>
      <c r="D5" s="355" t="s">
        <v>182</v>
      </c>
      <c r="E5" s="356"/>
      <c r="F5" s="356"/>
      <c r="G5" s="356"/>
      <c r="H5" s="356"/>
      <c r="I5" s="357"/>
      <c r="J5" s="368" t="s">
        <v>183</v>
      </c>
      <c r="K5" s="368"/>
      <c r="L5" s="6"/>
      <c r="M5" s="7"/>
      <c r="N5" s="5"/>
      <c r="O5" s="368" t="s">
        <v>181</v>
      </c>
      <c r="P5" s="368"/>
      <c r="Q5" s="355" t="s">
        <v>182</v>
      </c>
      <c r="R5" s="356"/>
      <c r="S5" s="356"/>
      <c r="T5" s="356"/>
      <c r="U5" s="356"/>
      <c r="V5" s="357"/>
      <c r="W5" s="368" t="s">
        <v>183</v>
      </c>
      <c r="X5" s="368"/>
      <c r="Y5" s="6"/>
      <c r="Z5" s="7"/>
    </row>
    <row r="6" spans="1:26" ht="17.25" customHeight="1">
      <c r="A6" s="5"/>
      <c r="B6" s="370"/>
      <c r="C6" s="371"/>
      <c r="D6" s="17">
        <v>1</v>
      </c>
      <c r="E6" s="18">
        <v>2</v>
      </c>
      <c r="F6" s="18">
        <v>3</v>
      </c>
      <c r="G6" s="18">
        <v>4</v>
      </c>
      <c r="H6" s="18">
        <v>5</v>
      </c>
      <c r="I6" s="19">
        <v>6</v>
      </c>
      <c r="J6" s="51" t="s">
        <v>184</v>
      </c>
      <c r="K6" s="51" t="s">
        <v>185</v>
      </c>
      <c r="L6" s="6"/>
      <c r="M6" s="7"/>
      <c r="N6" s="5"/>
      <c r="O6" s="370"/>
      <c r="P6" s="370"/>
      <c r="Q6" s="17">
        <v>1</v>
      </c>
      <c r="R6" s="18">
        <v>2</v>
      </c>
      <c r="S6" s="18">
        <v>3</v>
      </c>
      <c r="T6" s="18">
        <v>4</v>
      </c>
      <c r="U6" s="18">
        <v>5</v>
      </c>
      <c r="V6" s="19">
        <v>6</v>
      </c>
      <c r="W6" s="51" t="s">
        <v>184</v>
      </c>
      <c r="X6" s="51" t="s">
        <v>185</v>
      </c>
      <c r="Y6" s="6"/>
      <c r="Z6" s="7"/>
    </row>
    <row r="7" spans="1:26" ht="17.25" customHeight="1">
      <c r="A7" s="5"/>
      <c r="B7" s="366">
        <v>10</v>
      </c>
      <c r="C7" s="367"/>
      <c r="D7" s="29" t="e">
        <f>('Financial Sustainability Work'!$E$14/1000)*('Financial Sustainability Work'!#REF!+('Financial Sustainability Work'!$H$41*1000/('Breakeven Analysis'!D$16*'Breakeven Analysis'!$J7*30))+('Financial Sustainability Work'!$H$56*1000/('Breakeven Analysis'!D$16*'Breakeven Analysis'!$J7*30)))</f>
        <v>#REF!</v>
      </c>
      <c r="E7" s="14" t="e">
        <f>('Financial Sustainability Work'!$E$14/1000)*('Financial Sustainability Work'!#REF!+('Financial Sustainability Work'!$H$41*1000/('Breakeven Analysis'!E$16*'Breakeven Analysis'!$J7*30))+('Financial Sustainability Work'!$H$56*1000/('Breakeven Analysis'!E$16*'Breakeven Analysis'!$J7*30)))</f>
        <v>#REF!</v>
      </c>
      <c r="F7" s="14" t="e">
        <f>('Financial Sustainability Work'!$E$14/1000)*('Financial Sustainability Work'!#REF!+('Financial Sustainability Work'!$H$41*1000/('Breakeven Analysis'!F$16*'Breakeven Analysis'!$J7*30))+('Financial Sustainability Work'!$H$56*1000/('Breakeven Analysis'!F$16*'Breakeven Analysis'!$J7*30)))</f>
        <v>#REF!</v>
      </c>
      <c r="G7" s="14" t="e">
        <f>('Financial Sustainability Work'!$E$14/1000)*('Financial Sustainability Work'!#REF!+('Financial Sustainability Work'!$H$41*1000/('Breakeven Analysis'!G$16*'Breakeven Analysis'!$J7*30))+('Financial Sustainability Work'!$H$56*1000/('Breakeven Analysis'!G$16*'Breakeven Analysis'!$J7*30)))</f>
        <v>#REF!</v>
      </c>
      <c r="H7" s="14" t="e">
        <f>('Financial Sustainability Work'!$E$14/1000)*('Financial Sustainability Work'!#REF!+('Financial Sustainability Work'!$H$41*1000/('Breakeven Analysis'!H$16*'Breakeven Analysis'!$J7*30))+('Financial Sustainability Work'!$H$56*1000/('Breakeven Analysis'!H$16*'Breakeven Analysis'!$J7*30)))</f>
        <v>#REF!</v>
      </c>
      <c r="I7" s="106" t="e">
        <f>('Financial Sustainability Work'!$E$14/1000)*('Financial Sustainability Work'!#REF!+('Financial Sustainability Work'!$H$41*1000/('Breakeven Analysis'!I$16*'Breakeven Analysis'!$J7*30))+('Financial Sustainability Work'!$H$56*1000/('Breakeven Analysis'!I$16*'Breakeven Analysis'!$J7*30)))</f>
        <v>#REF!</v>
      </c>
      <c r="J7" s="13">
        <f>(B7/100)*'Financial Sustainability Work'!$E$4</f>
        <v>0</v>
      </c>
      <c r="K7" s="13">
        <f>(B7/100)*'Financial Sustainability Work'!$E$6</f>
        <v>0</v>
      </c>
      <c r="L7" s="6"/>
      <c r="M7" s="7"/>
      <c r="N7" s="5"/>
      <c r="O7" s="366">
        <v>10</v>
      </c>
      <c r="P7" s="366"/>
      <c r="Q7" s="34" t="e">
        <f>D7*'Financial Sustainability Work'!$E$13</f>
        <v>#REF!</v>
      </c>
      <c r="R7" s="31" t="e">
        <f>E7*'Financial Sustainability Work'!$E$13</f>
        <v>#REF!</v>
      </c>
      <c r="S7" s="31" t="e">
        <f>F7*'Financial Sustainability Work'!$E$13</f>
        <v>#REF!</v>
      </c>
      <c r="T7" s="31" t="e">
        <f>G7*'Financial Sustainability Work'!$E$13</f>
        <v>#REF!</v>
      </c>
      <c r="U7" s="31" t="e">
        <f>H7*'Financial Sustainability Work'!$E$13</f>
        <v>#REF!</v>
      </c>
      <c r="V7" s="35" t="e">
        <f>I7*'Financial Sustainability Work'!$E$13</f>
        <v>#REF!</v>
      </c>
      <c r="W7" s="13">
        <f>(O7/100)*'Financial Sustainability Work'!$E$4</f>
        <v>0</v>
      </c>
      <c r="X7" s="13">
        <f>(O7/100)*'Financial Sustainability Work'!$E$6</f>
        <v>0</v>
      </c>
      <c r="Y7" s="6"/>
      <c r="Z7" s="7"/>
    </row>
    <row r="8" spans="1:26" ht="17.25" customHeight="1">
      <c r="A8" s="5"/>
      <c r="B8" s="358">
        <v>20</v>
      </c>
      <c r="C8" s="359"/>
      <c r="D8" s="107" t="e">
        <f>('Financial Sustainability Work'!$E$14/1000)*('Financial Sustainability Work'!#REF!+('Financial Sustainability Work'!$H$41*1000/('Breakeven Analysis'!D$16*'Breakeven Analysis'!$J8*30))+('Financial Sustainability Work'!$H$56*1000/('Breakeven Analysis'!D$16*'Breakeven Analysis'!$J8*30)))</f>
        <v>#REF!</v>
      </c>
      <c r="E8" s="108" t="e">
        <f>('Financial Sustainability Work'!$E$14/1000)*('Financial Sustainability Work'!#REF!+('Financial Sustainability Work'!$H$41*1000/('Breakeven Analysis'!E$16*'Breakeven Analysis'!$J8*30))+('Financial Sustainability Work'!$H$56*1000/('Breakeven Analysis'!E$16*'Breakeven Analysis'!$J8*30)))</f>
        <v>#REF!</v>
      </c>
      <c r="F8" s="108" t="e">
        <f>('Financial Sustainability Work'!$E$14/1000)*('Financial Sustainability Work'!#REF!+('Financial Sustainability Work'!$H$41*1000/('Breakeven Analysis'!F$16*'Breakeven Analysis'!$J8*30))+('Financial Sustainability Work'!$H$56*1000/('Breakeven Analysis'!F$16*'Breakeven Analysis'!$J8*30)))</f>
        <v>#REF!</v>
      </c>
      <c r="G8" s="108" t="e">
        <f>('Financial Sustainability Work'!$E$14/1000)*('Financial Sustainability Work'!#REF!+('Financial Sustainability Work'!$H$41*1000/('Breakeven Analysis'!G$16*'Breakeven Analysis'!$J8*30))+('Financial Sustainability Work'!$H$56*1000/('Breakeven Analysis'!G$16*'Breakeven Analysis'!$J8*30)))</f>
        <v>#REF!</v>
      </c>
      <c r="H8" s="108" t="e">
        <f>('Financial Sustainability Work'!$E$14/1000)*('Financial Sustainability Work'!#REF!+('Financial Sustainability Work'!$H$41*1000/('Breakeven Analysis'!H$16*'Breakeven Analysis'!$J8*30))+('Financial Sustainability Work'!$H$56*1000/('Breakeven Analysis'!H$16*'Breakeven Analysis'!$J8*30)))</f>
        <v>#REF!</v>
      </c>
      <c r="I8" s="109" t="e">
        <f>('Financial Sustainability Work'!$E$14/1000)*('Financial Sustainability Work'!#REF!+('Financial Sustainability Work'!$H$41*1000/('Breakeven Analysis'!I$16*'Breakeven Analysis'!$J8*30))+('Financial Sustainability Work'!$H$56*1000/('Breakeven Analysis'!I$16*'Breakeven Analysis'!$J8*30)))</f>
        <v>#REF!</v>
      </c>
      <c r="J8" s="20">
        <f>(B8/100)*'Financial Sustainability Work'!$E$4</f>
        <v>0</v>
      </c>
      <c r="K8" s="20">
        <f>(B8/100)*'Financial Sustainability Work'!$E$6</f>
        <v>0</v>
      </c>
      <c r="L8" s="6"/>
      <c r="M8" s="7"/>
      <c r="N8" s="5"/>
      <c r="O8" s="358">
        <v>20</v>
      </c>
      <c r="P8" s="358"/>
      <c r="Q8" s="36" t="e">
        <f>D8*'Financial Sustainability Work'!$E$13</f>
        <v>#REF!</v>
      </c>
      <c r="R8" s="30" t="e">
        <f>E8*'Financial Sustainability Work'!$E$13</f>
        <v>#REF!</v>
      </c>
      <c r="S8" s="30" t="e">
        <f>F8*'Financial Sustainability Work'!$E$13</f>
        <v>#REF!</v>
      </c>
      <c r="T8" s="30" t="e">
        <f>G8*'Financial Sustainability Work'!$E$13</f>
        <v>#REF!</v>
      </c>
      <c r="U8" s="30" t="e">
        <f>H8*'Financial Sustainability Work'!$E$13</f>
        <v>#REF!</v>
      </c>
      <c r="V8" s="37" t="e">
        <f>I8*'Financial Sustainability Work'!$E$13</f>
        <v>#REF!</v>
      </c>
      <c r="W8" s="20">
        <f>(O8/100)*'Financial Sustainability Work'!$E$4</f>
        <v>0</v>
      </c>
      <c r="X8" s="20">
        <f>(O8/100)*'Financial Sustainability Work'!$E$6</f>
        <v>0</v>
      </c>
      <c r="Y8" s="6"/>
      <c r="Z8" s="7"/>
    </row>
    <row r="9" spans="1:26" ht="17.25" customHeight="1">
      <c r="A9" s="5"/>
      <c r="B9" s="360">
        <v>30</v>
      </c>
      <c r="C9" s="361"/>
      <c r="D9" s="29" t="e">
        <f>('Financial Sustainability Work'!$E$14/1000)*('Financial Sustainability Work'!#REF!+('Financial Sustainability Work'!$H$41*1000/('Breakeven Analysis'!D$16*'Breakeven Analysis'!$J9*30))+('Financial Sustainability Work'!$H$56*1000/('Breakeven Analysis'!D$16*'Breakeven Analysis'!$J9*30)))</f>
        <v>#REF!</v>
      </c>
      <c r="E9" s="14" t="e">
        <f>('Financial Sustainability Work'!$E$14/1000)*('Financial Sustainability Work'!#REF!+('Financial Sustainability Work'!$H$41*1000/('Breakeven Analysis'!E$16*'Breakeven Analysis'!$J9*30))+('Financial Sustainability Work'!$H$56*1000/('Breakeven Analysis'!E$16*'Breakeven Analysis'!$J9*30)))</f>
        <v>#REF!</v>
      </c>
      <c r="F9" s="14" t="e">
        <f>('Financial Sustainability Work'!$E$14/1000)*('Financial Sustainability Work'!#REF!+('Financial Sustainability Work'!$H$41*1000/('Breakeven Analysis'!F$16*'Breakeven Analysis'!$J9*30))+('Financial Sustainability Work'!$H$56*1000/('Breakeven Analysis'!F$16*'Breakeven Analysis'!$J9*30)))</f>
        <v>#REF!</v>
      </c>
      <c r="G9" s="14" t="e">
        <f>('Financial Sustainability Work'!$E$14/1000)*('Financial Sustainability Work'!#REF!+('Financial Sustainability Work'!$H$41*1000/('Breakeven Analysis'!G$16*'Breakeven Analysis'!$J9*30))+('Financial Sustainability Work'!$H$56*1000/('Breakeven Analysis'!G$16*'Breakeven Analysis'!$J9*30)))</f>
        <v>#REF!</v>
      </c>
      <c r="H9" s="14" t="e">
        <f>('Financial Sustainability Work'!$E$14/1000)*('Financial Sustainability Work'!#REF!+('Financial Sustainability Work'!$H$41*1000/('Breakeven Analysis'!H$16*'Breakeven Analysis'!$J9*30))+('Financial Sustainability Work'!$H$56*1000/('Breakeven Analysis'!H$16*'Breakeven Analysis'!$J9*30)))</f>
        <v>#REF!</v>
      </c>
      <c r="I9" s="106" t="e">
        <f>('Financial Sustainability Work'!$E$14/1000)*('Financial Sustainability Work'!#REF!+('Financial Sustainability Work'!$H$41*1000/('Breakeven Analysis'!I$16*'Breakeven Analysis'!$J9*30))+('Financial Sustainability Work'!$H$56*1000/('Breakeven Analysis'!I$16*'Breakeven Analysis'!$J9*30)))</f>
        <v>#REF!</v>
      </c>
      <c r="J9" s="13">
        <f>(B9/100)*'Financial Sustainability Work'!$E$4</f>
        <v>0</v>
      </c>
      <c r="K9" s="13">
        <f>(B9/100)*'Financial Sustainability Work'!$E$6</f>
        <v>0</v>
      </c>
      <c r="L9" s="6"/>
      <c r="M9" s="7"/>
      <c r="N9" s="5"/>
      <c r="O9" s="360">
        <v>30</v>
      </c>
      <c r="P9" s="360"/>
      <c r="Q9" s="34" t="e">
        <f>D9*'Financial Sustainability Work'!$E$13</f>
        <v>#REF!</v>
      </c>
      <c r="R9" s="31" t="e">
        <f>E9*'Financial Sustainability Work'!$E$13</f>
        <v>#REF!</v>
      </c>
      <c r="S9" s="31" t="e">
        <f>F9*'Financial Sustainability Work'!$E$13</f>
        <v>#REF!</v>
      </c>
      <c r="T9" s="31" t="e">
        <f>G9*'Financial Sustainability Work'!$E$13</f>
        <v>#REF!</v>
      </c>
      <c r="U9" s="31" t="e">
        <f>H9*'Financial Sustainability Work'!$E$13</f>
        <v>#REF!</v>
      </c>
      <c r="V9" s="35" t="e">
        <f>I9*'Financial Sustainability Work'!$E$13</f>
        <v>#REF!</v>
      </c>
      <c r="W9" s="13">
        <f>(O9/100)*'Financial Sustainability Work'!$E$4</f>
        <v>0</v>
      </c>
      <c r="X9" s="13">
        <f>(O9/100)*'Financial Sustainability Work'!$E$6</f>
        <v>0</v>
      </c>
      <c r="Y9" s="6"/>
      <c r="Z9" s="7"/>
    </row>
    <row r="10" spans="1:26" ht="17.25" customHeight="1">
      <c r="A10" s="5"/>
      <c r="B10" s="358">
        <v>40</v>
      </c>
      <c r="C10" s="359"/>
      <c r="D10" s="107" t="e">
        <f>('Financial Sustainability Work'!$E$14/1000)*('Financial Sustainability Work'!#REF!+('Financial Sustainability Work'!$H$41*1000/('Breakeven Analysis'!D$16*'Breakeven Analysis'!$J10*30))+('Financial Sustainability Work'!$H$56*1000/('Breakeven Analysis'!D$16*'Breakeven Analysis'!$J10*30)))</f>
        <v>#REF!</v>
      </c>
      <c r="E10" s="108" t="e">
        <f>('Financial Sustainability Work'!$E$14/1000)*('Financial Sustainability Work'!#REF!+('Financial Sustainability Work'!$H$41*1000/('Breakeven Analysis'!E$16*'Breakeven Analysis'!$J10*30))+('Financial Sustainability Work'!$H$56*1000/('Breakeven Analysis'!E$16*'Breakeven Analysis'!$J10*30)))</f>
        <v>#REF!</v>
      </c>
      <c r="F10" s="108" t="e">
        <f>('Financial Sustainability Work'!$E$14/1000)*('Financial Sustainability Work'!#REF!+('Financial Sustainability Work'!$H$41*1000/('Breakeven Analysis'!F$16*'Breakeven Analysis'!$J10*30))+('Financial Sustainability Work'!$H$56*1000/('Breakeven Analysis'!F$16*'Breakeven Analysis'!$J10*30)))</f>
        <v>#REF!</v>
      </c>
      <c r="G10" s="108" t="e">
        <f>('Financial Sustainability Work'!$E$14/1000)*('Financial Sustainability Work'!#REF!+('Financial Sustainability Work'!$H$41*1000/('Breakeven Analysis'!G$16*'Breakeven Analysis'!$J10*30))+('Financial Sustainability Work'!$H$56*1000/('Breakeven Analysis'!G$16*'Breakeven Analysis'!$J10*30)))</f>
        <v>#REF!</v>
      </c>
      <c r="H10" s="108" t="e">
        <f>('Financial Sustainability Work'!$E$14/1000)*('Financial Sustainability Work'!#REF!+('Financial Sustainability Work'!$H$41*1000/('Breakeven Analysis'!H$16*'Breakeven Analysis'!$J10*30))+('Financial Sustainability Work'!$H$56*1000/('Breakeven Analysis'!H$16*'Breakeven Analysis'!$J10*30)))</f>
        <v>#REF!</v>
      </c>
      <c r="I10" s="109" t="e">
        <f>('Financial Sustainability Work'!$E$14/1000)*('Financial Sustainability Work'!#REF!+('Financial Sustainability Work'!$H$41*1000/('Breakeven Analysis'!I$16*'Breakeven Analysis'!$J10*30))+('Financial Sustainability Work'!$H$56*1000/('Breakeven Analysis'!I$16*'Breakeven Analysis'!$J10*30)))</f>
        <v>#REF!</v>
      </c>
      <c r="J10" s="20">
        <f>(B10/100)*'Financial Sustainability Work'!$E$4</f>
        <v>0</v>
      </c>
      <c r="K10" s="20">
        <f>(B10/100)*'Financial Sustainability Work'!$E$6</f>
        <v>0</v>
      </c>
      <c r="L10" s="6"/>
      <c r="M10" s="7"/>
      <c r="N10" s="5"/>
      <c r="O10" s="358">
        <v>40</v>
      </c>
      <c r="P10" s="358"/>
      <c r="Q10" s="36" t="e">
        <f>D10*'Financial Sustainability Work'!$E$13</f>
        <v>#REF!</v>
      </c>
      <c r="R10" s="30" t="e">
        <f>E10*'Financial Sustainability Work'!$E$13</f>
        <v>#REF!</v>
      </c>
      <c r="S10" s="30" t="e">
        <f>F10*'Financial Sustainability Work'!$E$13</f>
        <v>#REF!</v>
      </c>
      <c r="T10" s="30" t="e">
        <f>G10*'Financial Sustainability Work'!$E$13</f>
        <v>#REF!</v>
      </c>
      <c r="U10" s="30" t="e">
        <f>H10*'Financial Sustainability Work'!$E$13</f>
        <v>#REF!</v>
      </c>
      <c r="V10" s="37" t="e">
        <f>I10*'Financial Sustainability Work'!$E$13</f>
        <v>#REF!</v>
      </c>
      <c r="W10" s="20">
        <f>(O10/100)*'Financial Sustainability Work'!$E$4</f>
        <v>0</v>
      </c>
      <c r="X10" s="20">
        <f>(O10/100)*'Financial Sustainability Work'!$E$6</f>
        <v>0</v>
      </c>
      <c r="Y10" s="6"/>
      <c r="Z10" s="7"/>
    </row>
    <row r="11" spans="1:26" ht="17.25" customHeight="1">
      <c r="A11" s="5"/>
      <c r="B11" s="360">
        <v>50</v>
      </c>
      <c r="C11" s="361"/>
      <c r="D11" s="29" t="e">
        <f>('Financial Sustainability Work'!$E$14/1000)*('Financial Sustainability Work'!#REF!+('Financial Sustainability Work'!$H$41*1000/('Breakeven Analysis'!D$16*'Breakeven Analysis'!$J11*30))+('Financial Sustainability Work'!$H$56*1000/('Breakeven Analysis'!D$16*'Breakeven Analysis'!$J11*30)))</f>
        <v>#REF!</v>
      </c>
      <c r="E11" s="14" t="e">
        <f>('Financial Sustainability Work'!$E$14/1000)*('Financial Sustainability Work'!#REF!+('Financial Sustainability Work'!$H$41*1000/('Breakeven Analysis'!E$16*'Breakeven Analysis'!$J11*30))+('Financial Sustainability Work'!$H$56*1000/('Breakeven Analysis'!E$16*'Breakeven Analysis'!$J11*30)))</f>
        <v>#REF!</v>
      </c>
      <c r="F11" s="14" t="e">
        <f>('Financial Sustainability Work'!$E$14/1000)*('Financial Sustainability Work'!#REF!+('Financial Sustainability Work'!$H$41*1000/('Breakeven Analysis'!F$16*'Breakeven Analysis'!$J11*30))+('Financial Sustainability Work'!$H$56*1000/('Breakeven Analysis'!F$16*'Breakeven Analysis'!$J11*30)))</f>
        <v>#REF!</v>
      </c>
      <c r="G11" s="14" t="e">
        <f>('Financial Sustainability Work'!$E$14/1000)*('Financial Sustainability Work'!#REF!+('Financial Sustainability Work'!$H$41*1000/('Breakeven Analysis'!G$16*'Breakeven Analysis'!$J11*30))+('Financial Sustainability Work'!$H$56*1000/('Breakeven Analysis'!G$16*'Breakeven Analysis'!$J11*30)))</f>
        <v>#REF!</v>
      </c>
      <c r="H11" s="14" t="e">
        <f>('Financial Sustainability Work'!$E$14/1000)*('Financial Sustainability Work'!#REF!+('Financial Sustainability Work'!$H$41*1000/('Breakeven Analysis'!H$16*'Breakeven Analysis'!$J11*30))+('Financial Sustainability Work'!$H$56*1000/('Breakeven Analysis'!H$16*'Breakeven Analysis'!$J11*30)))</f>
        <v>#REF!</v>
      </c>
      <c r="I11" s="106" t="e">
        <f>('Financial Sustainability Work'!$E$14/1000)*('Financial Sustainability Work'!#REF!+('Financial Sustainability Work'!$H$41*1000/('Breakeven Analysis'!I$16*'Breakeven Analysis'!$J11*30))+('Financial Sustainability Work'!$H$56*1000/('Breakeven Analysis'!I$16*'Breakeven Analysis'!$J11*30)))</f>
        <v>#REF!</v>
      </c>
      <c r="J11" s="13">
        <f>(B11/100)*'Financial Sustainability Work'!$E$4</f>
        <v>0</v>
      </c>
      <c r="K11" s="13">
        <f>(B11/100)*'Financial Sustainability Work'!$E$6</f>
        <v>0</v>
      </c>
      <c r="L11" s="6"/>
      <c r="M11" s="7"/>
      <c r="N11" s="5"/>
      <c r="O11" s="360">
        <v>50</v>
      </c>
      <c r="P11" s="360"/>
      <c r="Q11" s="34" t="e">
        <f>D11*'Financial Sustainability Work'!$E$13</f>
        <v>#REF!</v>
      </c>
      <c r="R11" s="31" t="e">
        <f>E11*'Financial Sustainability Work'!$E$13</f>
        <v>#REF!</v>
      </c>
      <c r="S11" s="31" t="e">
        <f>F11*'Financial Sustainability Work'!$E$13</f>
        <v>#REF!</v>
      </c>
      <c r="T11" s="31" t="e">
        <f>G11*'Financial Sustainability Work'!$E$13</f>
        <v>#REF!</v>
      </c>
      <c r="U11" s="31" t="e">
        <f>H11*'Financial Sustainability Work'!$E$13</f>
        <v>#REF!</v>
      </c>
      <c r="V11" s="35" t="e">
        <f>I11*'Financial Sustainability Work'!$E$13</f>
        <v>#REF!</v>
      </c>
      <c r="W11" s="13">
        <f>(O11/100)*'Financial Sustainability Work'!$E$4</f>
        <v>0</v>
      </c>
      <c r="X11" s="13">
        <f>(O11/100)*'Financial Sustainability Work'!$E$6</f>
        <v>0</v>
      </c>
      <c r="Y11" s="6"/>
      <c r="Z11" s="7"/>
    </row>
    <row r="12" spans="1:26" ht="17.25" customHeight="1">
      <c r="A12" s="5"/>
      <c r="B12" s="358">
        <v>60</v>
      </c>
      <c r="C12" s="359"/>
      <c r="D12" s="107" t="e">
        <f>('Financial Sustainability Work'!$E$14/1000)*('Financial Sustainability Work'!#REF!+('Financial Sustainability Work'!$H$41*1000/('Breakeven Analysis'!D$16*'Breakeven Analysis'!$J12*30))+('Financial Sustainability Work'!$H$56*1000/('Breakeven Analysis'!D$16*'Breakeven Analysis'!$J12*30)))</f>
        <v>#REF!</v>
      </c>
      <c r="E12" s="108" t="e">
        <f>('Financial Sustainability Work'!$E$14/1000)*('Financial Sustainability Work'!#REF!+('Financial Sustainability Work'!$H$41*1000/('Breakeven Analysis'!E$16*'Breakeven Analysis'!$J12*30))+('Financial Sustainability Work'!$H$56*1000/('Breakeven Analysis'!E$16*'Breakeven Analysis'!$J12*30)))</f>
        <v>#REF!</v>
      </c>
      <c r="F12" s="108" t="e">
        <f>('Financial Sustainability Work'!$E$14/1000)*('Financial Sustainability Work'!#REF!+('Financial Sustainability Work'!$H$41*1000/('Breakeven Analysis'!F$16*'Breakeven Analysis'!$J12*30))+('Financial Sustainability Work'!$H$56*1000/('Breakeven Analysis'!F$16*'Breakeven Analysis'!$J12*30)))</f>
        <v>#REF!</v>
      </c>
      <c r="G12" s="108" t="e">
        <f>('Financial Sustainability Work'!$E$14/1000)*('Financial Sustainability Work'!#REF!+('Financial Sustainability Work'!$H$41*1000/('Breakeven Analysis'!G$16*'Breakeven Analysis'!$J12*30))+('Financial Sustainability Work'!$H$56*1000/('Breakeven Analysis'!G$16*'Breakeven Analysis'!$J12*30)))</f>
        <v>#REF!</v>
      </c>
      <c r="H12" s="108" t="e">
        <f>('Financial Sustainability Work'!$E$14/1000)*('Financial Sustainability Work'!#REF!+('Financial Sustainability Work'!$H$41*1000/('Breakeven Analysis'!H$16*'Breakeven Analysis'!$J12*30))+('Financial Sustainability Work'!$H$56*1000/('Breakeven Analysis'!H$16*'Breakeven Analysis'!$J12*30)))</f>
        <v>#REF!</v>
      </c>
      <c r="I12" s="109" t="e">
        <f>('Financial Sustainability Work'!$E$14/1000)*('Financial Sustainability Work'!#REF!+('Financial Sustainability Work'!$H$41*1000/('Breakeven Analysis'!I$16*'Breakeven Analysis'!$J12*30))+('Financial Sustainability Work'!$H$56*1000/('Breakeven Analysis'!I$16*'Breakeven Analysis'!$J12*30)))</f>
        <v>#REF!</v>
      </c>
      <c r="J12" s="20">
        <f>(B12/100)*'Financial Sustainability Work'!$E$4</f>
        <v>0</v>
      </c>
      <c r="K12" s="20">
        <f>(B12/100)*'Financial Sustainability Work'!$E$6</f>
        <v>0</v>
      </c>
      <c r="L12" s="6"/>
      <c r="M12" s="7"/>
      <c r="N12" s="5"/>
      <c r="O12" s="358">
        <v>60</v>
      </c>
      <c r="P12" s="358"/>
      <c r="Q12" s="36" t="e">
        <f>D12*'Financial Sustainability Work'!$E$13</f>
        <v>#REF!</v>
      </c>
      <c r="R12" s="30" t="e">
        <f>E12*'Financial Sustainability Work'!$E$13</f>
        <v>#REF!</v>
      </c>
      <c r="S12" s="30" t="e">
        <f>F12*'Financial Sustainability Work'!$E$13</f>
        <v>#REF!</v>
      </c>
      <c r="T12" s="30" t="e">
        <f>G12*'Financial Sustainability Work'!$E$13</f>
        <v>#REF!</v>
      </c>
      <c r="U12" s="30" t="e">
        <f>H12*'Financial Sustainability Work'!$E$13</f>
        <v>#REF!</v>
      </c>
      <c r="V12" s="37" t="e">
        <f>I12*'Financial Sustainability Work'!$E$13</f>
        <v>#REF!</v>
      </c>
      <c r="W12" s="20">
        <f>(O12/100)*'Financial Sustainability Work'!$E$4</f>
        <v>0</v>
      </c>
      <c r="X12" s="20">
        <f>(O12/100)*'Financial Sustainability Work'!$E$6</f>
        <v>0</v>
      </c>
      <c r="Y12" s="6"/>
      <c r="Z12" s="7"/>
    </row>
    <row r="13" spans="1:26" ht="17.25" customHeight="1">
      <c r="A13" s="5"/>
      <c r="B13" s="360">
        <v>70</v>
      </c>
      <c r="C13" s="361"/>
      <c r="D13" s="29" t="e">
        <f>('Financial Sustainability Work'!$E$14/1000)*('Financial Sustainability Work'!#REF!+('Financial Sustainability Work'!$H$41*1000/('Breakeven Analysis'!D$16*'Breakeven Analysis'!$J13*30))+('Financial Sustainability Work'!$H$56*1000/('Breakeven Analysis'!D$16*'Breakeven Analysis'!$J13*30)))</f>
        <v>#REF!</v>
      </c>
      <c r="E13" s="14" t="e">
        <f>('Financial Sustainability Work'!$E$14/1000)*('Financial Sustainability Work'!#REF!+('Financial Sustainability Work'!$H$41*1000/('Breakeven Analysis'!E$16*'Breakeven Analysis'!$J13*30))+('Financial Sustainability Work'!$H$56*1000/('Breakeven Analysis'!E$16*'Breakeven Analysis'!$J13*30)))</f>
        <v>#REF!</v>
      </c>
      <c r="F13" s="14" t="e">
        <f>('Financial Sustainability Work'!$E$14/1000)*('Financial Sustainability Work'!#REF!+('Financial Sustainability Work'!$H$41*1000/('Breakeven Analysis'!F$16*'Breakeven Analysis'!$J13*30))+('Financial Sustainability Work'!$H$56*1000/('Breakeven Analysis'!F$16*'Breakeven Analysis'!$J13*30)))</f>
        <v>#REF!</v>
      </c>
      <c r="G13" s="14" t="e">
        <f>('Financial Sustainability Work'!$E$14/1000)*('Financial Sustainability Work'!#REF!+('Financial Sustainability Work'!$H$41*1000/('Breakeven Analysis'!G$16*'Breakeven Analysis'!$J13*30))+('Financial Sustainability Work'!$H$56*1000/('Breakeven Analysis'!G$16*'Breakeven Analysis'!$J13*30)))</f>
        <v>#REF!</v>
      </c>
      <c r="H13" s="14" t="e">
        <f>('Financial Sustainability Work'!$E$14/1000)*('Financial Sustainability Work'!#REF!+('Financial Sustainability Work'!$H$41*1000/('Breakeven Analysis'!H$16*'Breakeven Analysis'!$J13*30))+('Financial Sustainability Work'!$H$56*1000/('Breakeven Analysis'!H$16*'Breakeven Analysis'!$J13*30)))</f>
        <v>#REF!</v>
      </c>
      <c r="I13" s="106" t="e">
        <f>('Financial Sustainability Work'!$E$14/1000)*('Financial Sustainability Work'!#REF!+('Financial Sustainability Work'!$H$41*1000/('Breakeven Analysis'!I$16*'Breakeven Analysis'!$J13*30))+('Financial Sustainability Work'!$H$56*1000/('Breakeven Analysis'!I$16*'Breakeven Analysis'!$J13*30)))</f>
        <v>#REF!</v>
      </c>
      <c r="J13" s="13">
        <f>(B13/100)*'Financial Sustainability Work'!$E$4</f>
        <v>0</v>
      </c>
      <c r="K13" s="13">
        <f>(B13/100)*'Financial Sustainability Work'!$E$6</f>
        <v>0</v>
      </c>
      <c r="L13" s="6"/>
      <c r="M13" s="7"/>
      <c r="N13" s="5"/>
      <c r="O13" s="360">
        <v>70</v>
      </c>
      <c r="P13" s="360"/>
      <c r="Q13" s="34" t="e">
        <f>D13*'Financial Sustainability Work'!$E$13</f>
        <v>#REF!</v>
      </c>
      <c r="R13" s="31" t="e">
        <f>E13*'Financial Sustainability Work'!$E$13</f>
        <v>#REF!</v>
      </c>
      <c r="S13" s="31" t="e">
        <f>F13*'Financial Sustainability Work'!$E$13</f>
        <v>#REF!</v>
      </c>
      <c r="T13" s="31" t="e">
        <f>G13*'Financial Sustainability Work'!$E$13</f>
        <v>#REF!</v>
      </c>
      <c r="U13" s="31" t="e">
        <f>H13*'Financial Sustainability Work'!$E$13</f>
        <v>#REF!</v>
      </c>
      <c r="V13" s="35" t="e">
        <f>I13*'Financial Sustainability Work'!$E$13</f>
        <v>#REF!</v>
      </c>
      <c r="W13" s="13">
        <f>(O13/100)*'Financial Sustainability Work'!$E$4</f>
        <v>0</v>
      </c>
      <c r="X13" s="13">
        <f>(O13/100)*'Financial Sustainability Work'!$E$6</f>
        <v>0</v>
      </c>
      <c r="Y13" s="6"/>
      <c r="Z13" s="7"/>
    </row>
    <row r="14" spans="1:26" ht="17.25" customHeight="1">
      <c r="A14" s="5"/>
      <c r="B14" s="358">
        <v>80</v>
      </c>
      <c r="C14" s="359"/>
      <c r="D14" s="107" t="e">
        <f>('Financial Sustainability Work'!$E$14/1000)*('Financial Sustainability Work'!#REF!+('Financial Sustainability Work'!$H$41*1000/('Breakeven Analysis'!D$16*'Breakeven Analysis'!$J14*30))+('Financial Sustainability Work'!$H$56*1000/('Breakeven Analysis'!D$16*'Breakeven Analysis'!$J14*30)))</f>
        <v>#REF!</v>
      </c>
      <c r="E14" s="108" t="e">
        <f>('Financial Sustainability Work'!$E$14/1000)*('Financial Sustainability Work'!#REF!+('Financial Sustainability Work'!$H$41*1000/('Breakeven Analysis'!E$16*'Breakeven Analysis'!$J14*30))+('Financial Sustainability Work'!$H$56*1000/('Breakeven Analysis'!E$16*'Breakeven Analysis'!$J14*30)))</f>
        <v>#REF!</v>
      </c>
      <c r="F14" s="108" t="e">
        <f>('Financial Sustainability Work'!$E$14/1000)*('Financial Sustainability Work'!#REF!+('Financial Sustainability Work'!$H$41*1000/('Breakeven Analysis'!F$16*'Breakeven Analysis'!$J14*30))+('Financial Sustainability Work'!$H$56*1000/('Breakeven Analysis'!F$16*'Breakeven Analysis'!$J14*30)))</f>
        <v>#REF!</v>
      </c>
      <c r="G14" s="108" t="e">
        <f>('Financial Sustainability Work'!$E$14/1000)*('Financial Sustainability Work'!#REF!+('Financial Sustainability Work'!$H$41*1000/('Breakeven Analysis'!G$16*'Breakeven Analysis'!$J14*30))+('Financial Sustainability Work'!$H$56*1000/('Breakeven Analysis'!G$16*'Breakeven Analysis'!$J14*30)))</f>
        <v>#REF!</v>
      </c>
      <c r="H14" s="108" t="e">
        <f>('Financial Sustainability Work'!$E$14/1000)*('Financial Sustainability Work'!#REF!+('Financial Sustainability Work'!$H$41*1000/('Breakeven Analysis'!H$16*'Breakeven Analysis'!$J14*30))+('Financial Sustainability Work'!$H$56*1000/('Breakeven Analysis'!H$16*'Breakeven Analysis'!$J14*30)))</f>
        <v>#REF!</v>
      </c>
      <c r="I14" s="109" t="e">
        <f>('Financial Sustainability Work'!$E$14/1000)*('Financial Sustainability Work'!#REF!+('Financial Sustainability Work'!$H$41*1000/('Breakeven Analysis'!I$16*'Breakeven Analysis'!$J14*30))+('Financial Sustainability Work'!$H$56*1000/('Breakeven Analysis'!I$16*'Breakeven Analysis'!$J14*30)))</f>
        <v>#REF!</v>
      </c>
      <c r="J14" s="20">
        <f>(B14/100)*'Financial Sustainability Work'!$E$4</f>
        <v>0</v>
      </c>
      <c r="K14" s="20">
        <f>(B14/100)*'Financial Sustainability Work'!$E$6</f>
        <v>0</v>
      </c>
      <c r="L14" s="6"/>
      <c r="M14" s="7"/>
      <c r="N14" s="5"/>
      <c r="O14" s="358">
        <v>80</v>
      </c>
      <c r="P14" s="358"/>
      <c r="Q14" s="36" t="e">
        <f>D14*'Financial Sustainability Work'!$E$13</f>
        <v>#REF!</v>
      </c>
      <c r="R14" s="30" t="e">
        <f>E14*'Financial Sustainability Work'!$E$13</f>
        <v>#REF!</v>
      </c>
      <c r="S14" s="30" t="e">
        <f>F14*'Financial Sustainability Work'!$E$13</f>
        <v>#REF!</v>
      </c>
      <c r="T14" s="30" t="e">
        <f>G14*'Financial Sustainability Work'!$E$13</f>
        <v>#REF!</v>
      </c>
      <c r="U14" s="30" t="e">
        <f>H14*'Financial Sustainability Work'!$E$13</f>
        <v>#REF!</v>
      </c>
      <c r="V14" s="37" t="e">
        <f>I14*'Financial Sustainability Work'!$E$13</f>
        <v>#REF!</v>
      </c>
      <c r="W14" s="20">
        <f>(O14/100)*'Financial Sustainability Work'!$E$4</f>
        <v>0</v>
      </c>
      <c r="X14" s="20">
        <f>(O14/100)*'Financial Sustainability Work'!$E$6</f>
        <v>0</v>
      </c>
      <c r="Y14" s="6"/>
      <c r="Z14" s="7"/>
    </row>
    <row r="15" spans="1:26" ht="17.25" customHeight="1">
      <c r="A15" s="5"/>
      <c r="B15" s="364">
        <v>90</v>
      </c>
      <c r="C15" s="365"/>
      <c r="D15" s="110" t="e">
        <f>('Financial Sustainability Work'!$E$14/1000)*('Financial Sustainability Work'!#REF!+('Financial Sustainability Work'!$H$41*1000/('Breakeven Analysis'!D$16*'Breakeven Analysis'!$J15*30))+('Financial Sustainability Work'!$H$56*1000/('Breakeven Analysis'!D$16*'Breakeven Analysis'!$J15*30)))</f>
        <v>#REF!</v>
      </c>
      <c r="E15" s="111" t="e">
        <f>('Financial Sustainability Work'!$E$14/1000)*('Financial Sustainability Work'!#REF!+('Financial Sustainability Work'!$H$41*1000/('Breakeven Analysis'!E$16*'Breakeven Analysis'!$J15*30))+('Financial Sustainability Work'!$H$56*1000/('Breakeven Analysis'!E$16*'Breakeven Analysis'!$J15*30)))</f>
        <v>#REF!</v>
      </c>
      <c r="F15" s="111" t="e">
        <f>('Financial Sustainability Work'!$E$14/1000)*('Financial Sustainability Work'!#REF!+('Financial Sustainability Work'!$H$41*1000/('Breakeven Analysis'!F$16*'Breakeven Analysis'!$J15*30))+('Financial Sustainability Work'!$H$56*1000/('Breakeven Analysis'!F$16*'Breakeven Analysis'!$J15*30)))</f>
        <v>#REF!</v>
      </c>
      <c r="G15" s="111" t="e">
        <f>('Financial Sustainability Work'!$E$14/1000)*('Financial Sustainability Work'!#REF!+('Financial Sustainability Work'!$H$41*1000/('Breakeven Analysis'!G$16*'Breakeven Analysis'!$J15*30))+('Financial Sustainability Work'!$H$56*1000/('Breakeven Analysis'!G$16*'Breakeven Analysis'!$J15*30)))</f>
        <v>#REF!</v>
      </c>
      <c r="H15" s="111" t="e">
        <f>('Financial Sustainability Work'!$E$14/1000)*('Financial Sustainability Work'!#REF!+('Financial Sustainability Work'!$H$41*1000/('Breakeven Analysis'!H$16*'Breakeven Analysis'!$J15*30))+('Financial Sustainability Work'!$H$56*1000/('Breakeven Analysis'!H$16*'Breakeven Analysis'!$J15*30)))</f>
        <v>#REF!</v>
      </c>
      <c r="I15" s="112" t="e">
        <f>('Financial Sustainability Work'!$E$14/1000)*('Financial Sustainability Work'!#REF!+('Financial Sustainability Work'!$H$41*1000/('Breakeven Analysis'!I$16*'Breakeven Analysis'!$J15*30))+('Financial Sustainability Work'!$H$56*1000/('Breakeven Analysis'!I$16*'Breakeven Analysis'!$J15*30)))</f>
        <v>#REF!</v>
      </c>
      <c r="J15" s="26">
        <f>(B15/100)*'Financial Sustainability Work'!$E$4</f>
        <v>0</v>
      </c>
      <c r="K15" s="26">
        <f>(B15/100)*'Financial Sustainability Work'!$E$6</f>
        <v>0</v>
      </c>
      <c r="L15" s="6"/>
      <c r="M15" s="7"/>
      <c r="N15" s="5"/>
      <c r="O15" s="364">
        <v>90</v>
      </c>
      <c r="P15" s="364"/>
      <c r="Q15" s="58" t="e">
        <f>D15*'Financial Sustainability Work'!$E$13</f>
        <v>#REF!</v>
      </c>
      <c r="R15" s="59" t="e">
        <f>E15*'Financial Sustainability Work'!$E$13</f>
        <v>#REF!</v>
      </c>
      <c r="S15" s="59" t="e">
        <f>F15*'Financial Sustainability Work'!$E$13</f>
        <v>#REF!</v>
      </c>
      <c r="T15" s="59" t="e">
        <f>G15*'Financial Sustainability Work'!$E$13</f>
        <v>#REF!</v>
      </c>
      <c r="U15" s="59" t="e">
        <f>H15*'Financial Sustainability Work'!$E$13</f>
        <v>#REF!</v>
      </c>
      <c r="V15" s="60" t="e">
        <f>I15*'Financial Sustainability Work'!$E$13</f>
        <v>#REF!</v>
      </c>
      <c r="W15" s="26">
        <f>(O15/100)*'Financial Sustainability Work'!$E$4</f>
        <v>0</v>
      </c>
      <c r="X15" s="26">
        <f>(O15/100)*'Financial Sustainability Work'!$E$6</f>
        <v>0</v>
      </c>
      <c r="Y15" s="6"/>
      <c r="Z15" s="7"/>
    </row>
    <row r="16" spans="1:26" ht="17.25" customHeight="1">
      <c r="A16" s="5"/>
      <c r="B16" s="49"/>
      <c r="C16" s="49"/>
      <c r="D16" s="61">
        <f t="shared" ref="D16:I16" si="0">D6*$J$4</f>
        <v>0</v>
      </c>
      <c r="E16" s="62">
        <f t="shared" si="0"/>
        <v>0</v>
      </c>
      <c r="F16" s="62">
        <f t="shared" si="0"/>
        <v>0</v>
      </c>
      <c r="G16" s="62">
        <f t="shared" si="0"/>
        <v>0</v>
      </c>
      <c r="H16" s="62">
        <f t="shared" si="0"/>
        <v>0</v>
      </c>
      <c r="I16" s="63">
        <f t="shared" si="0"/>
        <v>0</v>
      </c>
      <c r="J16" s="13"/>
      <c r="K16" s="13"/>
      <c r="L16" s="6"/>
      <c r="M16" s="7"/>
      <c r="N16" s="5"/>
      <c r="O16" s="49"/>
      <c r="P16" s="49"/>
      <c r="Q16" s="61">
        <f t="shared" ref="Q16:V16" si="1">Q6*$J$4</f>
        <v>0</v>
      </c>
      <c r="R16" s="62">
        <f t="shared" si="1"/>
        <v>0</v>
      </c>
      <c r="S16" s="62">
        <f t="shared" si="1"/>
        <v>0</v>
      </c>
      <c r="T16" s="62">
        <f t="shared" si="1"/>
        <v>0</v>
      </c>
      <c r="U16" s="62">
        <f t="shared" si="1"/>
        <v>0</v>
      </c>
      <c r="V16" s="63">
        <f t="shared" si="1"/>
        <v>0</v>
      </c>
      <c r="W16" s="13"/>
      <c r="X16" s="13"/>
      <c r="Y16" s="6"/>
      <c r="Z16" s="7"/>
    </row>
    <row r="17" spans="1:26" ht="17.25" customHeight="1">
      <c r="A17" s="5"/>
      <c r="B17" s="49"/>
      <c r="C17" s="49"/>
      <c r="D17" s="355" t="s">
        <v>186</v>
      </c>
      <c r="E17" s="356"/>
      <c r="F17" s="356"/>
      <c r="G17" s="356"/>
      <c r="H17" s="356"/>
      <c r="I17" s="357"/>
      <c r="J17" s="13"/>
      <c r="K17" s="13"/>
      <c r="L17" s="6"/>
      <c r="M17" s="7"/>
      <c r="N17" s="5"/>
      <c r="O17" s="49"/>
      <c r="P17" s="49"/>
      <c r="Q17" s="355" t="s">
        <v>186</v>
      </c>
      <c r="R17" s="356"/>
      <c r="S17" s="356"/>
      <c r="T17" s="356"/>
      <c r="U17" s="356"/>
      <c r="V17" s="357"/>
      <c r="W17" s="13"/>
      <c r="X17" s="13"/>
      <c r="Y17" s="6"/>
      <c r="Z17" s="7"/>
    </row>
    <row r="18" spans="1:26" ht="11.1" customHeight="1">
      <c r="A18" s="5"/>
      <c r="B18" s="6"/>
      <c r="C18" s="6"/>
      <c r="D18" s="6"/>
      <c r="E18" s="6"/>
      <c r="F18" s="6"/>
      <c r="G18" s="6"/>
      <c r="H18" s="6"/>
      <c r="I18" s="6"/>
      <c r="J18" s="6"/>
      <c r="K18" s="6"/>
      <c r="L18" s="6"/>
      <c r="M18" s="7"/>
      <c r="N18" s="5"/>
      <c r="O18" s="6"/>
      <c r="P18" s="6"/>
      <c r="Q18" s="6"/>
      <c r="R18" s="6"/>
      <c r="S18" s="6"/>
      <c r="T18" s="6"/>
      <c r="U18" s="6"/>
      <c r="V18" s="6"/>
      <c r="W18" s="6"/>
      <c r="X18" s="6"/>
      <c r="Y18" s="6"/>
      <c r="Z18" s="7"/>
    </row>
    <row r="19" spans="1:26" ht="17.25" customHeight="1">
      <c r="A19" s="5"/>
      <c r="B19" s="356" t="s">
        <v>187</v>
      </c>
      <c r="C19" s="356"/>
      <c r="D19" s="356"/>
      <c r="E19" s="356"/>
      <c r="F19" s="356"/>
      <c r="G19" s="356"/>
      <c r="H19" s="356"/>
      <c r="I19" s="356"/>
      <c r="J19" s="356"/>
      <c r="K19" s="356"/>
      <c r="L19" s="6"/>
      <c r="M19" s="7"/>
      <c r="N19" s="5"/>
      <c r="O19" s="356" t="s">
        <v>187</v>
      </c>
      <c r="P19" s="356"/>
      <c r="Q19" s="356"/>
      <c r="R19" s="356"/>
      <c r="S19" s="356"/>
      <c r="T19" s="356"/>
      <c r="U19" s="356"/>
      <c r="V19" s="356"/>
      <c r="W19" s="356"/>
      <c r="X19" s="356"/>
      <c r="Y19" s="6"/>
      <c r="Z19" s="7"/>
    </row>
    <row r="20" spans="1:26" ht="17.25" customHeight="1">
      <c r="A20" s="5"/>
      <c r="B20" s="368" t="s">
        <v>181</v>
      </c>
      <c r="C20" s="369"/>
      <c r="D20" s="355" t="s">
        <v>182</v>
      </c>
      <c r="E20" s="356"/>
      <c r="F20" s="356"/>
      <c r="G20" s="356"/>
      <c r="H20" s="356"/>
      <c r="I20" s="357"/>
      <c r="J20" s="368" t="s">
        <v>188</v>
      </c>
      <c r="K20" s="368"/>
      <c r="L20" s="6"/>
      <c r="M20" s="7"/>
      <c r="N20" s="5"/>
      <c r="O20" s="368" t="s">
        <v>181</v>
      </c>
      <c r="P20" s="369"/>
      <c r="Q20" s="355" t="s">
        <v>182</v>
      </c>
      <c r="R20" s="356"/>
      <c r="S20" s="356"/>
      <c r="T20" s="356"/>
      <c r="U20" s="356"/>
      <c r="V20" s="357"/>
      <c r="W20" s="368" t="s">
        <v>188</v>
      </c>
      <c r="X20" s="368"/>
      <c r="Y20" s="6"/>
      <c r="Z20" s="7"/>
    </row>
    <row r="21" spans="1:26" ht="17.25" customHeight="1">
      <c r="A21" s="5"/>
      <c r="B21" s="370"/>
      <c r="C21" s="371"/>
      <c r="D21" s="17">
        <v>1</v>
      </c>
      <c r="E21" s="18">
        <v>2</v>
      </c>
      <c r="F21" s="18">
        <v>3</v>
      </c>
      <c r="G21" s="18">
        <v>4</v>
      </c>
      <c r="H21" s="18">
        <v>5</v>
      </c>
      <c r="I21" s="19">
        <v>6</v>
      </c>
      <c r="J21" s="51" t="s">
        <v>184</v>
      </c>
      <c r="K21" s="51" t="s">
        <v>185</v>
      </c>
      <c r="L21" s="6"/>
      <c r="M21" s="7"/>
      <c r="N21" s="5"/>
      <c r="O21" s="370"/>
      <c r="P21" s="371"/>
      <c r="Q21" s="17">
        <v>1</v>
      </c>
      <c r="R21" s="18">
        <v>2</v>
      </c>
      <c r="S21" s="18">
        <v>3</v>
      </c>
      <c r="T21" s="18">
        <v>4</v>
      </c>
      <c r="U21" s="18">
        <v>5</v>
      </c>
      <c r="V21" s="19">
        <v>6</v>
      </c>
      <c r="W21" s="51" t="s">
        <v>184</v>
      </c>
      <c r="X21" s="51" t="s">
        <v>185</v>
      </c>
      <c r="Y21" s="6"/>
      <c r="Z21" s="7"/>
    </row>
    <row r="22" spans="1:26" ht="17.25" customHeight="1">
      <c r="A22" s="5"/>
      <c r="B22" s="366">
        <v>10</v>
      </c>
      <c r="C22" s="367"/>
      <c r="D22" s="21">
        <f t="shared" ref="D22:I30" si="2">$J22*D$31</f>
        <v>0</v>
      </c>
      <c r="E22" s="6">
        <f t="shared" si="2"/>
        <v>0</v>
      </c>
      <c r="F22" s="6">
        <f t="shared" si="2"/>
        <v>0</v>
      </c>
      <c r="G22" s="6">
        <f t="shared" si="2"/>
        <v>0</v>
      </c>
      <c r="H22" s="6">
        <f t="shared" si="2"/>
        <v>0</v>
      </c>
      <c r="I22" s="22">
        <f t="shared" si="2"/>
        <v>0</v>
      </c>
      <c r="J22" s="13">
        <f>(B22/100)*'Financial Sustainability Work'!$E$4</f>
        <v>0</v>
      </c>
      <c r="K22" s="13">
        <f>(B22/100)*'Financial Sustainability Work'!$E$6</f>
        <v>0</v>
      </c>
      <c r="L22" s="6"/>
      <c r="M22" s="7"/>
      <c r="N22" s="5"/>
      <c r="O22" s="366">
        <v>10</v>
      </c>
      <c r="P22" s="367"/>
      <c r="Q22" s="21">
        <f t="shared" ref="Q22:V30" si="3">$J22*Q$31</f>
        <v>0</v>
      </c>
      <c r="R22" s="6">
        <f t="shared" si="3"/>
        <v>0</v>
      </c>
      <c r="S22" s="6">
        <f t="shared" si="3"/>
        <v>0</v>
      </c>
      <c r="T22" s="6">
        <f t="shared" si="3"/>
        <v>0</v>
      </c>
      <c r="U22" s="6">
        <f t="shared" si="3"/>
        <v>0</v>
      </c>
      <c r="V22" s="22">
        <f t="shared" si="3"/>
        <v>0</v>
      </c>
      <c r="W22" s="13">
        <f>(O22/100)*'Financial Sustainability Work'!$E$4</f>
        <v>0</v>
      </c>
      <c r="X22" s="13">
        <f>(O22/100)*'Financial Sustainability Work'!$E$6</f>
        <v>0</v>
      </c>
      <c r="Y22" s="6"/>
      <c r="Z22" s="7"/>
    </row>
    <row r="23" spans="1:26" ht="17.25" customHeight="1">
      <c r="A23" s="5"/>
      <c r="B23" s="358">
        <v>20</v>
      </c>
      <c r="C23" s="359"/>
      <c r="D23" s="23">
        <f t="shared" si="2"/>
        <v>0</v>
      </c>
      <c r="E23" s="24">
        <f t="shared" si="2"/>
        <v>0</v>
      </c>
      <c r="F23" s="24">
        <f t="shared" si="2"/>
        <v>0</v>
      </c>
      <c r="G23" s="24">
        <f t="shared" si="2"/>
        <v>0</v>
      </c>
      <c r="H23" s="24">
        <f t="shared" si="2"/>
        <v>0</v>
      </c>
      <c r="I23" s="25">
        <f t="shared" si="2"/>
        <v>0</v>
      </c>
      <c r="J23" s="20">
        <f>(B23/100)*'Financial Sustainability Work'!$E$4</f>
        <v>0</v>
      </c>
      <c r="K23" s="20">
        <f>(B23/100)*'Financial Sustainability Work'!$E$6</f>
        <v>0</v>
      </c>
      <c r="L23" s="6"/>
      <c r="M23" s="7"/>
      <c r="N23" s="5"/>
      <c r="O23" s="358">
        <v>20</v>
      </c>
      <c r="P23" s="359"/>
      <c r="Q23" s="23">
        <f t="shared" si="3"/>
        <v>0</v>
      </c>
      <c r="R23" s="24">
        <f t="shared" si="3"/>
        <v>0</v>
      </c>
      <c r="S23" s="24">
        <f t="shared" si="3"/>
        <v>0</v>
      </c>
      <c r="T23" s="24">
        <f t="shared" si="3"/>
        <v>0</v>
      </c>
      <c r="U23" s="24">
        <f t="shared" si="3"/>
        <v>0</v>
      </c>
      <c r="V23" s="25">
        <f t="shared" si="3"/>
        <v>0</v>
      </c>
      <c r="W23" s="20">
        <f>(O23/100)*'Financial Sustainability Work'!$E$4</f>
        <v>0</v>
      </c>
      <c r="X23" s="20">
        <f>(O23/100)*'Financial Sustainability Work'!$E$6</f>
        <v>0</v>
      </c>
      <c r="Y23" s="6"/>
      <c r="Z23" s="7"/>
    </row>
    <row r="24" spans="1:26" ht="17.25" customHeight="1">
      <c r="A24" s="5"/>
      <c r="B24" s="360">
        <v>30</v>
      </c>
      <c r="C24" s="361"/>
      <c r="D24" s="21">
        <f t="shared" si="2"/>
        <v>0</v>
      </c>
      <c r="E24" s="6">
        <f t="shared" si="2"/>
        <v>0</v>
      </c>
      <c r="F24" s="6">
        <f t="shared" si="2"/>
        <v>0</v>
      </c>
      <c r="G24" s="6">
        <f t="shared" si="2"/>
        <v>0</v>
      </c>
      <c r="H24" s="6">
        <f t="shared" si="2"/>
        <v>0</v>
      </c>
      <c r="I24" s="22">
        <f t="shared" si="2"/>
        <v>0</v>
      </c>
      <c r="J24" s="13">
        <f>(B24/100)*'Financial Sustainability Work'!$E$4</f>
        <v>0</v>
      </c>
      <c r="K24" s="13">
        <f>(B24/100)*'Financial Sustainability Work'!$E$6</f>
        <v>0</v>
      </c>
      <c r="L24" s="6"/>
      <c r="M24" s="7"/>
      <c r="N24" s="5"/>
      <c r="O24" s="360">
        <v>30</v>
      </c>
      <c r="P24" s="361"/>
      <c r="Q24" s="21">
        <f t="shared" si="3"/>
        <v>0</v>
      </c>
      <c r="R24" s="6">
        <f t="shared" si="3"/>
        <v>0</v>
      </c>
      <c r="S24" s="6">
        <f t="shared" si="3"/>
        <v>0</v>
      </c>
      <c r="T24" s="6">
        <f t="shared" si="3"/>
        <v>0</v>
      </c>
      <c r="U24" s="6">
        <f t="shared" si="3"/>
        <v>0</v>
      </c>
      <c r="V24" s="22">
        <f t="shared" si="3"/>
        <v>0</v>
      </c>
      <c r="W24" s="13">
        <f>(O24/100)*'Financial Sustainability Work'!$E$4</f>
        <v>0</v>
      </c>
      <c r="X24" s="13">
        <f>(O24/100)*'Financial Sustainability Work'!$E$6</f>
        <v>0</v>
      </c>
      <c r="Y24" s="6"/>
      <c r="Z24" s="7"/>
    </row>
    <row r="25" spans="1:26" ht="17.25" customHeight="1">
      <c r="A25" s="5"/>
      <c r="B25" s="358">
        <v>40</v>
      </c>
      <c r="C25" s="359"/>
      <c r="D25" s="23">
        <f t="shared" si="2"/>
        <v>0</v>
      </c>
      <c r="E25" s="24">
        <f t="shared" si="2"/>
        <v>0</v>
      </c>
      <c r="F25" s="24">
        <f t="shared" si="2"/>
        <v>0</v>
      </c>
      <c r="G25" s="24">
        <f t="shared" si="2"/>
        <v>0</v>
      </c>
      <c r="H25" s="24">
        <f t="shared" si="2"/>
        <v>0</v>
      </c>
      <c r="I25" s="25">
        <f t="shared" si="2"/>
        <v>0</v>
      </c>
      <c r="J25" s="20">
        <f>(B25/100)*'Financial Sustainability Work'!$E$4</f>
        <v>0</v>
      </c>
      <c r="K25" s="20">
        <f>(B25/100)*'Financial Sustainability Work'!$E$6</f>
        <v>0</v>
      </c>
      <c r="L25" s="6"/>
      <c r="M25" s="7"/>
      <c r="N25" s="5"/>
      <c r="O25" s="358">
        <v>40</v>
      </c>
      <c r="P25" s="359"/>
      <c r="Q25" s="23">
        <f t="shared" si="3"/>
        <v>0</v>
      </c>
      <c r="R25" s="24">
        <f t="shared" si="3"/>
        <v>0</v>
      </c>
      <c r="S25" s="24">
        <f t="shared" si="3"/>
        <v>0</v>
      </c>
      <c r="T25" s="24">
        <f t="shared" si="3"/>
        <v>0</v>
      </c>
      <c r="U25" s="24">
        <f t="shared" si="3"/>
        <v>0</v>
      </c>
      <c r="V25" s="25">
        <f t="shared" si="3"/>
        <v>0</v>
      </c>
      <c r="W25" s="20">
        <f>(O25/100)*'Financial Sustainability Work'!$E$4</f>
        <v>0</v>
      </c>
      <c r="X25" s="20">
        <f>(O25/100)*'Financial Sustainability Work'!$E$6</f>
        <v>0</v>
      </c>
      <c r="Y25" s="6"/>
      <c r="Z25" s="7"/>
    </row>
    <row r="26" spans="1:26" ht="17.25" customHeight="1">
      <c r="A26" s="5"/>
      <c r="B26" s="360">
        <v>50</v>
      </c>
      <c r="C26" s="361"/>
      <c r="D26" s="21">
        <f t="shared" si="2"/>
        <v>0</v>
      </c>
      <c r="E26" s="6">
        <f t="shared" si="2"/>
        <v>0</v>
      </c>
      <c r="F26" s="6">
        <f t="shared" si="2"/>
        <v>0</v>
      </c>
      <c r="G26" s="6">
        <f t="shared" si="2"/>
        <v>0</v>
      </c>
      <c r="H26" s="6">
        <f t="shared" si="2"/>
        <v>0</v>
      </c>
      <c r="I26" s="22">
        <f t="shared" si="2"/>
        <v>0</v>
      </c>
      <c r="J26" s="13">
        <f>(B26/100)*'Financial Sustainability Work'!$E$4</f>
        <v>0</v>
      </c>
      <c r="K26" s="13">
        <f>(B26/100)*'Financial Sustainability Work'!$E$6</f>
        <v>0</v>
      </c>
      <c r="L26" s="6"/>
      <c r="M26" s="7"/>
      <c r="N26" s="5"/>
      <c r="O26" s="360">
        <v>50</v>
      </c>
      <c r="P26" s="361"/>
      <c r="Q26" s="21">
        <f t="shared" si="3"/>
        <v>0</v>
      </c>
      <c r="R26" s="6">
        <f t="shared" si="3"/>
        <v>0</v>
      </c>
      <c r="S26" s="6">
        <f t="shared" si="3"/>
        <v>0</v>
      </c>
      <c r="T26" s="6">
        <f t="shared" si="3"/>
        <v>0</v>
      </c>
      <c r="U26" s="6">
        <f t="shared" si="3"/>
        <v>0</v>
      </c>
      <c r="V26" s="22">
        <f t="shared" si="3"/>
        <v>0</v>
      </c>
      <c r="W26" s="13">
        <f>(O26/100)*'Financial Sustainability Work'!$E$4</f>
        <v>0</v>
      </c>
      <c r="X26" s="13">
        <f>(O26/100)*'Financial Sustainability Work'!$E$6</f>
        <v>0</v>
      </c>
      <c r="Y26" s="6"/>
      <c r="Z26" s="7"/>
    </row>
    <row r="27" spans="1:26" ht="17.25" customHeight="1">
      <c r="A27" s="5"/>
      <c r="B27" s="358">
        <v>60</v>
      </c>
      <c r="C27" s="359"/>
      <c r="D27" s="23">
        <f t="shared" si="2"/>
        <v>0</v>
      </c>
      <c r="E27" s="24">
        <f t="shared" si="2"/>
        <v>0</v>
      </c>
      <c r="F27" s="24">
        <f t="shared" si="2"/>
        <v>0</v>
      </c>
      <c r="G27" s="24">
        <f t="shared" si="2"/>
        <v>0</v>
      </c>
      <c r="H27" s="24">
        <f t="shared" si="2"/>
        <v>0</v>
      </c>
      <c r="I27" s="25">
        <f t="shared" si="2"/>
        <v>0</v>
      </c>
      <c r="J27" s="20">
        <f>(B27/100)*'Financial Sustainability Work'!$E$4</f>
        <v>0</v>
      </c>
      <c r="K27" s="20">
        <f>(B27/100)*'Financial Sustainability Work'!$E$6</f>
        <v>0</v>
      </c>
      <c r="L27" s="6"/>
      <c r="M27" s="7"/>
      <c r="N27" s="5"/>
      <c r="O27" s="358">
        <v>60</v>
      </c>
      <c r="P27" s="359"/>
      <c r="Q27" s="23">
        <f t="shared" si="3"/>
        <v>0</v>
      </c>
      <c r="R27" s="24">
        <f t="shared" si="3"/>
        <v>0</v>
      </c>
      <c r="S27" s="24">
        <f t="shared" si="3"/>
        <v>0</v>
      </c>
      <c r="T27" s="24">
        <f t="shared" si="3"/>
        <v>0</v>
      </c>
      <c r="U27" s="24">
        <f t="shared" si="3"/>
        <v>0</v>
      </c>
      <c r="V27" s="25">
        <f t="shared" si="3"/>
        <v>0</v>
      </c>
      <c r="W27" s="20">
        <f>(O27/100)*'Financial Sustainability Work'!$E$4</f>
        <v>0</v>
      </c>
      <c r="X27" s="20">
        <f>(O27/100)*'Financial Sustainability Work'!$E$6</f>
        <v>0</v>
      </c>
      <c r="Y27" s="6"/>
      <c r="Z27" s="7"/>
    </row>
    <row r="28" spans="1:26" ht="17.25" customHeight="1">
      <c r="A28" s="5"/>
      <c r="B28" s="360">
        <v>70</v>
      </c>
      <c r="C28" s="361"/>
      <c r="D28" s="21">
        <f t="shared" si="2"/>
        <v>0</v>
      </c>
      <c r="E28" s="6">
        <f t="shared" si="2"/>
        <v>0</v>
      </c>
      <c r="F28" s="6">
        <f t="shared" si="2"/>
        <v>0</v>
      </c>
      <c r="G28" s="6">
        <f t="shared" si="2"/>
        <v>0</v>
      </c>
      <c r="H28" s="6">
        <f t="shared" si="2"/>
        <v>0</v>
      </c>
      <c r="I28" s="22">
        <f t="shared" si="2"/>
        <v>0</v>
      </c>
      <c r="J28" s="13">
        <f>(B28/100)*'Financial Sustainability Work'!$E$4</f>
        <v>0</v>
      </c>
      <c r="K28" s="13">
        <f>(B28/100)*'Financial Sustainability Work'!$E$6</f>
        <v>0</v>
      </c>
      <c r="L28" s="6"/>
      <c r="M28" s="7"/>
      <c r="N28" s="5"/>
      <c r="O28" s="360">
        <v>70</v>
      </c>
      <c r="P28" s="361"/>
      <c r="Q28" s="21">
        <f t="shared" si="3"/>
        <v>0</v>
      </c>
      <c r="R28" s="6">
        <f t="shared" si="3"/>
        <v>0</v>
      </c>
      <c r="S28" s="6">
        <f t="shared" si="3"/>
        <v>0</v>
      </c>
      <c r="T28" s="6">
        <f t="shared" si="3"/>
        <v>0</v>
      </c>
      <c r="U28" s="6">
        <f t="shared" si="3"/>
        <v>0</v>
      </c>
      <c r="V28" s="22">
        <f t="shared" si="3"/>
        <v>0</v>
      </c>
      <c r="W28" s="13">
        <f>(O28/100)*'Financial Sustainability Work'!$E$4</f>
        <v>0</v>
      </c>
      <c r="X28" s="13">
        <f>(O28/100)*'Financial Sustainability Work'!$E$6</f>
        <v>0</v>
      </c>
      <c r="Y28" s="6"/>
      <c r="Z28" s="7"/>
    </row>
    <row r="29" spans="1:26" ht="17.25" customHeight="1">
      <c r="A29" s="5"/>
      <c r="B29" s="358">
        <v>80</v>
      </c>
      <c r="C29" s="359"/>
      <c r="D29" s="23">
        <f t="shared" si="2"/>
        <v>0</v>
      </c>
      <c r="E29" s="24">
        <f t="shared" si="2"/>
        <v>0</v>
      </c>
      <c r="F29" s="24">
        <f t="shared" si="2"/>
        <v>0</v>
      </c>
      <c r="G29" s="24">
        <f t="shared" si="2"/>
        <v>0</v>
      </c>
      <c r="H29" s="24">
        <f t="shared" si="2"/>
        <v>0</v>
      </c>
      <c r="I29" s="25">
        <f t="shared" si="2"/>
        <v>0</v>
      </c>
      <c r="J29" s="20">
        <f>(B29/100)*'Financial Sustainability Work'!$E$4</f>
        <v>0</v>
      </c>
      <c r="K29" s="20">
        <f>(B29/100)*'Financial Sustainability Work'!$E$6</f>
        <v>0</v>
      </c>
      <c r="L29" s="6"/>
      <c r="M29" s="7"/>
      <c r="N29" s="5"/>
      <c r="O29" s="358">
        <v>80</v>
      </c>
      <c r="P29" s="359"/>
      <c r="Q29" s="23">
        <f t="shared" si="3"/>
        <v>0</v>
      </c>
      <c r="R29" s="24">
        <f t="shared" si="3"/>
        <v>0</v>
      </c>
      <c r="S29" s="24">
        <f t="shared" si="3"/>
        <v>0</v>
      </c>
      <c r="T29" s="24">
        <f t="shared" si="3"/>
        <v>0</v>
      </c>
      <c r="U29" s="24">
        <f t="shared" si="3"/>
        <v>0</v>
      </c>
      <c r="V29" s="25">
        <f t="shared" si="3"/>
        <v>0</v>
      </c>
      <c r="W29" s="20">
        <f>(O29/100)*'Financial Sustainability Work'!$E$4</f>
        <v>0</v>
      </c>
      <c r="X29" s="20">
        <f>(O29/100)*'Financial Sustainability Work'!$E$6</f>
        <v>0</v>
      </c>
      <c r="Y29" s="6"/>
      <c r="Z29" s="7"/>
    </row>
    <row r="30" spans="1:26" ht="17.25" customHeight="1">
      <c r="A30" s="5"/>
      <c r="B30" s="364">
        <v>90</v>
      </c>
      <c r="C30" s="365"/>
      <c r="D30" s="64">
        <f t="shared" si="2"/>
        <v>0</v>
      </c>
      <c r="E30" s="65">
        <f t="shared" si="2"/>
        <v>0</v>
      </c>
      <c r="F30" s="65">
        <f t="shared" si="2"/>
        <v>0</v>
      </c>
      <c r="G30" s="65">
        <f t="shared" si="2"/>
        <v>0</v>
      </c>
      <c r="H30" s="65">
        <f t="shared" si="2"/>
        <v>0</v>
      </c>
      <c r="I30" s="66">
        <f t="shared" si="2"/>
        <v>0</v>
      </c>
      <c r="J30" s="26">
        <f>(B30/100)*'Financial Sustainability Work'!$E$4</f>
        <v>0</v>
      </c>
      <c r="K30" s="26">
        <f>(B30/100)*'Financial Sustainability Work'!$E$6</f>
        <v>0</v>
      </c>
      <c r="L30" s="6"/>
      <c r="M30" s="7"/>
      <c r="N30" s="5"/>
      <c r="O30" s="364">
        <v>90</v>
      </c>
      <c r="P30" s="365"/>
      <c r="Q30" s="64">
        <f t="shared" si="3"/>
        <v>0</v>
      </c>
      <c r="R30" s="65">
        <f t="shared" si="3"/>
        <v>0</v>
      </c>
      <c r="S30" s="65">
        <f t="shared" si="3"/>
        <v>0</v>
      </c>
      <c r="T30" s="65">
        <f t="shared" si="3"/>
        <v>0</v>
      </c>
      <c r="U30" s="65">
        <f t="shared" si="3"/>
        <v>0</v>
      </c>
      <c r="V30" s="66">
        <f t="shared" si="3"/>
        <v>0</v>
      </c>
      <c r="W30" s="26">
        <f>(O30/100)*'Financial Sustainability Work'!$E$4</f>
        <v>0</v>
      </c>
      <c r="X30" s="26">
        <f>(O30/100)*'Financial Sustainability Work'!$E$6</f>
        <v>0</v>
      </c>
      <c r="Y30" s="6"/>
      <c r="Z30" s="7"/>
    </row>
    <row r="31" spans="1:26" ht="17.25" customHeight="1">
      <c r="A31" s="5"/>
      <c r="B31" s="49"/>
      <c r="C31" s="49"/>
      <c r="D31" s="61">
        <f t="shared" ref="D31:I31" si="4">D21*$J$4</f>
        <v>0</v>
      </c>
      <c r="E31" s="62">
        <f t="shared" si="4"/>
        <v>0</v>
      </c>
      <c r="F31" s="62">
        <f t="shared" si="4"/>
        <v>0</v>
      </c>
      <c r="G31" s="62">
        <f t="shared" si="4"/>
        <v>0</v>
      </c>
      <c r="H31" s="62">
        <f t="shared" si="4"/>
        <v>0</v>
      </c>
      <c r="I31" s="63">
        <f t="shared" si="4"/>
        <v>0</v>
      </c>
      <c r="J31" s="13"/>
      <c r="K31" s="13"/>
      <c r="L31" s="6"/>
      <c r="M31" s="7"/>
      <c r="N31" s="5"/>
      <c r="O31" s="49"/>
      <c r="P31" s="49"/>
      <c r="Q31" s="61">
        <f t="shared" ref="Q31:V31" si="5">Q21*$J$4</f>
        <v>0</v>
      </c>
      <c r="R31" s="62">
        <f t="shared" si="5"/>
        <v>0</v>
      </c>
      <c r="S31" s="62">
        <f t="shared" si="5"/>
        <v>0</v>
      </c>
      <c r="T31" s="62">
        <f t="shared" si="5"/>
        <v>0</v>
      </c>
      <c r="U31" s="62">
        <f t="shared" si="5"/>
        <v>0</v>
      </c>
      <c r="V31" s="63">
        <f t="shared" si="5"/>
        <v>0</v>
      </c>
      <c r="W31" s="13"/>
      <c r="X31" s="13"/>
      <c r="Y31" s="6"/>
      <c r="Z31" s="7"/>
    </row>
    <row r="32" spans="1:26" ht="17.25" customHeight="1">
      <c r="A32" s="5"/>
      <c r="B32" s="49"/>
      <c r="C32" s="49"/>
      <c r="D32" s="355" t="s">
        <v>186</v>
      </c>
      <c r="E32" s="356"/>
      <c r="F32" s="356"/>
      <c r="G32" s="356"/>
      <c r="H32" s="356"/>
      <c r="I32" s="357"/>
      <c r="J32" s="13"/>
      <c r="K32" s="13"/>
      <c r="L32" s="6"/>
      <c r="M32" s="7"/>
      <c r="N32" s="5"/>
      <c r="O32" s="49"/>
      <c r="P32" s="49"/>
      <c r="Q32" s="355" t="s">
        <v>186</v>
      </c>
      <c r="R32" s="356"/>
      <c r="S32" s="356"/>
      <c r="T32" s="356"/>
      <c r="U32" s="356"/>
      <c r="V32" s="357"/>
      <c r="W32" s="13"/>
      <c r="X32" s="13"/>
      <c r="Y32" s="6"/>
      <c r="Z32" s="7"/>
    </row>
    <row r="33" spans="1:26" ht="11.1" customHeight="1">
      <c r="A33" s="5"/>
      <c r="B33" s="6"/>
      <c r="C33" s="6"/>
      <c r="D33" s="6"/>
      <c r="E33" s="6"/>
      <c r="F33" s="6"/>
      <c r="G33" s="6"/>
      <c r="H33" s="6"/>
      <c r="I33" s="6"/>
      <c r="J33" s="6"/>
      <c r="K33" s="6"/>
      <c r="L33" s="6"/>
      <c r="M33" s="7"/>
      <c r="N33" s="5"/>
      <c r="O33" s="6"/>
      <c r="P33" s="6"/>
      <c r="Q33" s="6"/>
      <c r="R33" s="6"/>
      <c r="S33" s="6"/>
      <c r="T33" s="6"/>
      <c r="U33" s="6"/>
      <c r="V33" s="6"/>
      <c r="W33" s="6"/>
      <c r="X33" s="6"/>
      <c r="Y33" s="6"/>
      <c r="Z33" s="7"/>
    </row>
    <row r="34" spans="1:26" ht="17.25" customHeight="1">
      <c r="A34" s="5"/>
      <c r="B34" s="68"/>
      <c r="C34" s="6"/>
      <c r="D34" s="6"/>
      <c r="E34" s="101" t="s">
        <v>189</v>
      </c>
      <c r="F34" s="67" t="s">
        <v>16</v>
      </c>
      <c r="G34" s="68" t="s">
        <v>177</v>
      </c>
      <c r="H34" s="99">
        <f>'Financial Sustainability Work'!F61</f>
        <v>0</v>
      </c>
      <c r="I34" s="6"/>
      <c r="J34" s="6"/>
      <c r="K34" s="6"/>
      <c r="L34" s="6"/>
      <c r="M34" s="7"/>
      <c r="N34" s="5"/>
      <c r="O34" s="68"/>
      <c r="P34" s="6"/>
      <c r="Q34" s="6"/>
      <c r="R34" s="101" t="s">
        <v>189</v>
      </c>
      <c r="S34" s="67" t="str">
        <f>S4</f>
        <v>UGX</v>
      </c>
      <c r="T34" s="68" t="s">
        <v>177</v>
      </c>
      <c r="U34" s="102">
        <f>'Financial Sustainability Work'!E61</f>
        <v>0</v>
      </c>
      <c r="V34" s="6"/>
      <c r="W34" s="6"/>
      <c r="X34" s="6"/>
      <c r="Y34" s="6"/>
      <c r="Z34" s="7"/>
    </row>
    <row r="35" spans="1:26" ht="11.1" customHeight="1">
      <c r="A35" s="5"/>
      <c r="B35" s="6"/>
      <c r="C35" s="6"/>
      <c r="D35" s="6"/>
      <c r="E35" s="6"/>
      <c r="F35" s="6"/>
      <c r="G35" s="6"/>
      <c r="H35" s="6"/>
      <c r="I35" s="6"/>
      <c r="J35" s="6"/>
      <c r="K35" s="6"/>
      <c r="L35" s="6"/>
      <c r="M35" s="7"/>
      <c r="N35" s="5"/>
      <c r="O35" s="6"/>
      <c r="P35" s="6"/>
      <c r="Q35" s="6"/>
      <c r="R35" s="6"/>
      <c r="S35" s="6"/>
      <c r="T35" s="6"/>
      <c r="U35" s="6"/>
      <c r="V35" s="6"/>
      <c r="W35" s="6"/>
      <c r="X35" s="6"/>
      <c r="Y35" s="6"/>
      <c r="Z35" s="7"/>
    </row>
    <row r="36" spans="1:26" ht="17.25" customHeight="1">
      <c r="A36" s="376" t="s">
        <v>190</v>
      </c>
      <c r="B36" s="356"/>
      <c r="C36" s="356"/>
      <c r="D36" s="356"/>
      <c r="E36" s="356"/>
      <c r="F36" s="356"/>
      <c r="G36" s="356"/>
      <c r="H36" s="356"/>
      <c r="I36" s="356"/>
      <c r="J36" s="356"/>
      <c r="K36" s="356"/>
      <c r="L36" s="356"/>
      <c r="M36" s="377"/>
      <c r="N36" s="376" t="s">
        <v>190</v>
      </c>
      <c r="O36" s="356"/>
      <c r="P36" s="356"/>
      <c r="Q36" s="356"/>
      <c r="R36" s="356"/>
      <c r="S36" s="356"/>
      <c r="T36" s="356"/>
      <c r="U36" s="356"/>
      <c r="V36" s="356"/>
      <c r="W36" s="356"/>
      <c r="X36" s="356"/>
      <c r="Y36" s="356"/>
      <c r="Z36" s="377"/>
    </row>
    <row r="37" spans="1:26" ht="17.25" customHeight="1">
      <c r="A37" s="362" t="s">
        <v>191</v>
      </c>
      <c r="B37" s="363"/>
      <c r="C37" s="363"/>
      <c r="D37" s="49" t="s">
        <v>92</v>
      </c>
      <c r="E37" s="53">
        <v>10</v>
      </c>
      <c r="F37" s="49">
        <v>20</v>
      </c>
      <c r="G37" s="49">
        <v>30</v>
      </c>
      <c r="H37" s="49">
        <v>40</v>
      </c>
      <c r="I37" s="49">
        <v>50</v>
      </c>
      <c r="J37" s="49">
        <v>60</v>
      </c>
      <c r="K37" s="49">
        <v>70</v>
      </c>
      <c r="L37" s="49">
        <v>80</v>
      </c>
      <c r="M37" s="15">
        <v>90</v>
      </c>
      <c r="N37" s="362" t="s">
        <v>191</v>
      </c>
      <c r="O37" s="363"/>
      <c r="P37" s="363"/>
      <c r="Q37" s="49" t="s">
        <v>92</v>
      </c>
      <c r="R37" s="53">
        <v>10</v>
      </c>
      <c r="S37" s="49">
        <v>20</v>
      </c>
      <c r="T37" s="49">
        <v>30</v>
      </c>
      <c r="U37" s="49">
        <v>40</v>
      </c>
      <c r="V37" s="49">
        <v>50</v>
      </c>
      <c r="W37" s="49">
        <v>60</v>
      </c>
      <c r="X37" s="49">
        <v>70</v>
      </c>
      <c r="Y37" s="49">
        <v>80</v>
      </c>
      <c r="Z37" s="15">
        <v>90</v>
      </c>
    </row>
    <row r="38" spans="1:26" ht="17.25" customHeight="1">
      <c r="A38" s="374" t="s">
        <v>192</v>
      </c>
      <c r="B38" s="375"/>
      <c r="C38" s="375"/>
      <c r="D38" s="18" t="s">
        <v>193</v>
      </c>
      <c r="E38" s="28">
        <f>(E37/100)*'Financial Sustainability Work'!$E$4</f>
        <v>0</v>
      </c>
      <c r="F38" s="26">
        <f>(F37/100)*'Financial Sustainability Work'!$E$4</f>
        <v>0</v>
      </c>
      <c r="G38" s="26">
        <f>(G37/100)*'Financial Sustainability Work'!$E$4</f>
        <v>0</v>
      </c>
      <c r="H38" s="26">
        <f>(H37/100)*'Financial Sustainability Work'!$E$4</f>
        <v>0</v>
      </c>
      <c r="I38" s="26">
        <f>(I37/100)*'Financial Sustainability Work'!$E$4</f>
        <v>0</v>
      </c>
      <c r="J38" s="26">
        <f>(J37/100)*'Financial Sustainability Work'!$E$4</f>
        <v>0</v>
      </c>
      <c r="K38" s="26">
        <f>(K37/100)*'Financial Sustainability Work'!$E$4</f>
        <v>0</v>
      </c>
      <c r="L38" s="26">
        <f>(L37/100)*'Financial Sustainability Work'!$E$4</f>
        <v>0</v>
      </c>
      <c r="M38" s="27">
        <f>(M37/100)*'Financial Sustainability Work'!$E$4</f>
        <v>0</v>
      </c>
      <c r="N38" s="374" t="s">
        <v>192</v>
      </c>
      <c r="O38" s="375"/>
      <c r="P38" s="375"/>
      <c r="Q38" s="18" t="s">
        <v>193</v>
      </c>
      <c r="R38" s="28">
        <f>(R37/100)*'Financial Sustainability Work'!$E$4</f>
        <v>0</v>
      </c>
      <c r="S38" s="26">
        <f>(S37/100)*'Financial Sustainability Work'!$E$4</f>
        <v>0</v>
      </c>
      <c r="T38" s="26">
        <f>(T37/100)*'Financial Sustainability Work'!$E$4</f>
        <v>0</v>
      </c>
      <c r="U38" s="26">
        <f>(U37/100)*'Financial Sustainability Work'!$E$4</f>
        <v>0</v>
      </c>
      <c r="V38" s="26">
        <f>(V37/100)*'Financial Sustainability Work'!$E$4</f>
        <v>0</v>
      </c>
      <c r="W38" s="26">
        <f>(W37/100)*'Financial Sustainability Work'!$E$4</f>
        <v>0</v>
      </c>
      <c r="X38" s="26">
        <f>(X37/100)*'Financial Sustainability Work'!$E$4</f>
        <v>0</v>
      </c>
      <c r="Y38" s="26">
        <f>(Y37/100)*'Financial Sustainability Work'!$E$4</f>
        <v>0</v>
      </c>
      <c r="Z38" s="27">
        <f>(Z37/100)*'Financial Sustainability Work'!$E$4</f>
        <v>0</v>
      </c>
    </row>
    <row r="39" spans="1:26" ht="17.25" customHeight="1">
      <c r="A39" s="362" t="s">
        <v>194</v>
      </c>
      <c r="B39" s="363"/>
      <c r="C39" s="363"/>
      <c r="D39" s="49" t="s">
        <v>16</v>
      </c>
      <c r="E39" s="29" t="e">
        <f>(('Financial Sustainability Work'!#REF!*'Financial Sustainability Work'!$E$21*'Financial Sustainability Work'!$E$5*30*'Breakeven Analysis'!E38/1000)+'Financial Sustainability Work'!$H$41+'Financial Sustainability Work'!$H$56)/'Breakeven Analysis'!E38</f>
        <v>#REF!</v>
      </c>
      <c r="F39" s="14" t="e">
        <f>(('Financial Sustainability Work'!#REF!*'Financial Sustainability Work'!$E$21*'Financial Sustainability Work'!$E$5*30*'Breakeven Analysis'!F38/1000)+'Financial Sustainability Work'!$H$41+'Financial Sustainability Work'!$H$56)/'Breakeven Analysis'!F38</f>
        <v>#REF!</v>
      </c>
      <c r="G39" s="14" t="e">
        <f>(('Financial Sustainability Work'!#REF!*'Financial Sustainability Work'!$E$21*'Financial Sustainability Work'!$E$5*30*'Breakeven Analysis'!G38/1000)+'Financial Sustainability Work'!$H$41+'Financial Sustainability Work'!$H$56)/'Breakeven Analysis'!G38</f>
        <v>#REF!</v>
      </c>
      <c r="H39" s="14" t="e">
        <f>(('Financial Sustainability Work'!#REF!*'Financial Sustainability Work'!$E$21*'Financial Sustainability Work'!$E$5*30*'Breakeven Analysis'!H38/1000)+'Financial Sustainability Work'!$H$41+'Financial Sustainability Work'!$H$56)/'Breakeven Analysis'!H38</f>
        <v>#REF!</v>
      </c>
      <c r="I39" s="14" t="e">
        <f>(('Financial Sustainability Work'!#REF!*'Financial Sustainability Work'!$E$21*'Financial Sustainability Work'!$E$5*30*'Breakeven Analysis'!I38/1000)+'Financial Sustainability Work'!$H$41+'Financial Sustainability Work'!$H$56)/'Breakeven Analysis'!I38</f>
        <v>#REF!</v>
      </c>
      <c r="J39" s="14" t="e">
        <f>(('Financial Sustainability Work'!#REF!*'Financial Sustainability Work'!$E$21*'Financial Sustainability Work'!$E$5*30*'Breakeven Analysis'!J38/1000)+'Financial Sustainability Work'!$H$41+'Financial Sustainability Work'!$H$56)/'Breakeven Analysis'!J38</f>
        <v>#REF!</v>
      </c>
      <c r="K39" s="14" t="e">
        <f>(('Financial Sustainability Work'!#REF!*'Financial Sustainability Work'!$E$21*'Financial Sustainability Work'!$E$5*30*'Breakeven Analysis'!K38/1000)+'Financial Sustainability Work'!$H$41+'Financial Sustainability Work'!$H$56)/'Breakeven Analysis'!K38</f>
        <v>#REF!</v>
      </c>
      <c r="L39" s="14" t="e">
        <f>(('Financial Sustainability Work'!#REF!*'Financial Sustainability Work'!$E$21*'Financial Sustainability Work'!$E$5*30*'Breakeven Analysis'!L38/1000)+'Financial Sustainability Work'!$H$41+'Financial Sustainability Work'!$H$56)/'Breakeven Analysis'!L38</f>
        <v>#REF!</v>
      </c>
      <c r="M39" s="16" t="e">
        <f>(('Financial Sustainability Work'!#REF!*'Financial Sustainability Work'!$E$21*'Financial Sustainability Work'!$E$5*30*'Breakeven Analysis'!M38/1000)+'Financial Sustainability Work'!$H$41+'Financial Sustainability Work'!$H$56)/'Breakeven Analysis'!M38</f>
        <v>#REF!</v>
      </c>
      <c r="N39" s="362" t="s">
        <v>194</v>
      </c>
      <c r="O39" s="363"/>
      <c r="P39" s="363"/>
      <c r="Q39" s="49" t="str">
        <f>'Financial Sustainability Work'!E9</f>
        <v>UGX</v>
      </c>
      <c r="R39" s="38" t="e">
        <f>E39*'Financial Sustainability Work'!$E$13</f>
        <v>#REF!</v>
      </c>
      <c r="S39" s="32" t="e">
        <f>F39*'Financial Sustainability Work'!$E$13</f>
        <v>#REF!</v>
      </c>
      <c r="T39" s="32" t="e">
        <f>G39*'Financial Sustainability Work'!$E$13</f>
        <v>#REF!</v>
      </c>
      <c r="U39" s="32" t="e">
        <f>H39*'Financial Sustainability Work'!$E$13</f>
        <v>#REF!</v>
      </c>
      <c r="V39" s="32" t="e">
        <f>I39*'Financial Sustainability Work'!$E$13</f>
        <v>#REF!</v>
      </c>
      <c r="W39" s="32" t="e">
        <f>J39*'Financial Sustainability Work'!$E$13</f>
        <v>#REF!</v>
      </c>
      <c r="X39" s="32" t="e">
        <f>K39*'Financial Sustainability Work'!$E$13</f>
        <v>#REF!</v>
      </c>
      <c r="Y39" s="32" t="e">
        <f>L39*'Financial Sustainability Work'!$E$13</f>
        <v>#REF!</v>
      </c>
      <c r="Z39" s="33" t="e">
        <f>M39*'Financial Sustainability Work'!$E$13</f>
        <v>#REF!</v>
      </c>
    </row>
    <row r="40" spans="1:26" ht="17.25" customHeight="1">
      <c r="A40" s="8" t="s">
        <v>195</v>
      </c>
      <c r="B40" s="6"/>
      <c r="C40" s="6"/>
      <c r="D40" s="6"/>
      <c r="E40" s="6"/>
      <c r="F40" s="6"/>
      <c r="G40" s="6"/>
      <c r="H40" s="6"/>
      <c r="I40" s="6"/>
      <c r="J40" s="6"/>
      <c r="K40" s="6"/>
      <c r="L40" s="6"/>
      <c r="M40" s="7"/>
      <c r="N40" s="8" t="s">
        <v>195</v>
      </c>
      <c r="O40" s="6"/>
      <c r="P40" s="6"/>
      <c r="Q40" s="6"/>
      <c r="R40" s="6"/>
      <c r="S40" s="6"/>
      <c r="T40" s="6"/>
      <c r="U40" s="6"/>
      <c r="V40" s="6"/>
      <c r="W40" s="6"/>
      <c r="X40" s="6"/>
      <c r="Y40" s="6"/>
      <c r="Z40" s="7"/>
    </row>
    <row r="41" spans="1:26" ht="11.1" customHeight="1" thickBot="1">
      <c r="A41" s="9"/>
      <c r="B41" s="10"/>
      <c r="C41" s="10"/>
      <c r="D41" s="10"/>
      <c r="E41" s="10"/>
      <c r="F41" s="10"/>
      <c r="G41" s="10"/>
      <c r="H41" s="10"/>
      <c r="I41" s="10"/>
      <c r="J41" s="10"/>
      <c r="K41" s="10"/>
      <c r="L41" s="10"/>
      <c r="M41" s="11"/>
      <c r="N41" s="9"/>
      <c r="O41" s="10"/>
      <c r="P41" s="10"/>
      <c r="Q41" s="10"/>
      <c r="R41" s="10"/>
      <c r="S41" s="10"/>
      <c r="T41" s="10"/>
      <c r="U41" s="10"/>
      <c r="V41" s="10"/>
      <c r="W41" s="10"/>
      <c r="X41" s="10"/>
      <c r="Y41" s="10"/>
      <c r="Z41" s="11"/>
    </row>
  </sheetData>
  <sheetProtection algorithmName="SHA-512" hashValue="2hZj+MNxrPqbB60vAMgd7QMx+DHRPNzDKP0Llrh9mjGjqcFQx1LgT4bWtp2zccepNlqmyYlho0c/SkjmTurHTQ==" saltValue="69ettqeQPMHSDawdx3SrWQ==" spinCount="100000" sheet="1" objects="1" scenarios="1"/>
  <mergeCells count="66">
    <mergeCell ref="A39:C39"/>
    <mergeCell ref="A37:C37"/>
    <mergeCell ref="A38:C38"/>
    <mergeCell ref="A36:M36"/>
    <mergeCell ref="N36:Z36"/>
    <mergeCell ref="N38:P38"/>
    <mergeCell ref="N39:P39"/>
    <mergeCell ref="D20:I20"/>
    <mergeCell ref="J20:K20"/>
    <mergeCell ref="B23:C23"/>
    <mergeCell ref="B24:C24"/>
    <mergeCell ref="B25:C25"/>
    <mergeCell ref="B22:C22"/>
    <mergeCell ref="B26:C26"/>
    <mergeCell ref="B27:C27"/>
    <mergeCell ref="B28:C28"/>
    <mergeCell ref="B29:C29"/>
    <mergeCell ref="B30:C30"/>
    <mergeCell ref="B9:C9"/>
    <mergeCell ref="B8:C8"/>
    <mergeCell ref="B7:C7"/>
    <mergeCell ref="O19:X19"/>
    <mergeCell ref="O10:P10"/>
    <mergeCell ref="O9:P9"/>
    <mergeCell ref="O8:P8"/>
    <mergeCell ref="O7:P7"/>
    <mergeCell ref="O15:P15"/>
    <mergeCell ref="O14:P14"/>
    <mergeCell ref="O13:P13"/>
    <mergeCell ref="O11:P11"/>
    <mergeCell ref="O12:P12"/>
    <mergeCell ref="Q17:V17"/>
    <mergeCell ref="H4:I4"/>
    <mergeCell ref="B4:E4"/>
    <mergeCell ref="O4:R4"/>
    <mergeCell ref="U4:V4"/>
    <mergeCell ref="O5:P6"/>
    <mergeCell ref="D5:I5"/>
    <mergeCell ref="W20:X20"/>
    <mergeCell ref="J5:K5"/>
    <mergeCell ref="B19:K19"/>
    <mergeCell ref="D17:I17"/>
    <mergeCell ref="B20:C21"/>
    <mergeCell ref="O20:P21"/>
    <mergeCell ref="Q20:V20"/>
    <mergeCell ref="B5:C6"/>
    <mergeCell ref="B15:C15"/>
    <mergeCell ref="B14:C14"/>
    <mergeCell ref="B13:C13"/>
    <mergeCell ref="B12:C12"/>
    <mergeCell ref="B11:C11"/>
    <mergeCell ref="W5:X5"/>
    <mergeCell ref="Q5:V5"/>
    <mergeCell ref="B10:C10"/>
    <mergeCell ref="O24:P24"/>
    <mergeCell ref="O23:P23"/>
    <mergeCell ref="O22:P22"/>
    <mergeCell ref="O25:P25"/>
    <mergeCell ref="O26:P26"/>
    <mergeCell ref="D32:I32"/>
    <mergeCell ref="Q32:V32"/>
    <mergeCell ref="O27:P27"/>
    <mergeCell ref="O28:P28"/>
    <mergeCell ref="N37:P37"/>
    <mergeCell ref="O29:P29"/>
    <mergeCell ref="O30:P30"/>
  </mergeCells>
  <conditionalFormatting sqref="D7:I15">
    <cfRule type="cellIs" dxfId="16" priority="4" operator="greaterThan">
      <formula>$H$2</formula>
    </cfRule>
  </conditionalFormatting>
  <conditionalFormatting sqref="E39:M39">
    <cfRule type="cellIs" dxfId="15" priority="3" operator="greaterThan">
      <formula>$H$34</formula>
    </cfRule>
  </conditionalFormatting>
  <conditionalFormatting sqref="Q7:V15">
    <cfRule type="cellIs" dxfId="14" priority="2" operator="greaterThan">
      <formula>$U$2</formula>
    </cfRule>
  </conditionalFormatting>
  <conditionalFormatting sqref="R39:Z39">
    <cfRule type="cellIs" dxfId="13" priority="1" operator="greaterThan">
      <formula>$U$34</formula>
    </cfRule>
  </conditionalFormatting>
  <pageMargins left="0.7" right="1.0208333333333333" top="0.75" bottom="0.75" header="0.3" footer="0.3"/>
  <pageSetup orientation="portrait" r:id="rId1"/>
  <headerFooter>
    <oddHeader>&amp;L&amp;"-,Bold"&amp;K3155A4Example Community - Safe Water Project Operational and Replacement Costs
Page 3: Breakeven Analysis&amp;R&amp;G&amp;K00+000h</oddHeader>
    <oddFooter>&amp;L&amp;8&amp;K3155A4&amp;Z&amp;F&amp;R&amp;8&amp;K3155A4(Rev11_) &amp;D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2"/>
  <sheetViews>
    <sheetView zoomScaleNormal="100" zoomScalePageLayoutView="85" workbookViewId="0">
      <selection activeCell="O27" sqref="O27"/>
    </sheetView>
  </sheetViews>
  <sheetFormatPr defaultColWidth="4.7109375" defaultRowHeight="18" customHeight="1"/>
  <cols>
    <col min="1" max="13" width="6.42578125" style="1" customWidth="1"/>
    <col min="14" max="14" width="7" style="1" customWidth="1"/>
    <col min="15" max="16" width="6.42578125" style="1" customWidth="1"/>
    <col min="17" max="26" width="8.28515625" style="1" customWidth="1"/>
    <col min="27" max="27" width="6.7109375" style="1" customWidth="1"/>
    <col min="28" max="28" width="5.42578125" style="1" customWidth="1"/>
    <col min="29" max="16384" width="4.7109375" style="1"/>
  </cols>
  <sheetData>
    <row r="1" spans="1:26" ht="18" customHeight="1">
      <c r="A1" s="2"/>
      <c r="B1" s="3"/>
      <c r="C1" s="3"/>
      <c r="D1" s="3"/>
      <c r="E1" s="3"/>
      <c r="F1" s="3"/>
      <c r="G1" s="3"/>
      <c r="H1" s="3"/>
      <c r="I1" s="3"/>
      <c r="J1" s="3"/>
      <c r="K1" s="3"/>
      <c r="L1" s="3"/>
      <c r="M1" s="4"/>
      <c r="N1" s="2"/>
      <c r="O1" s="3"/>
      <c r="P1" s="3"/>
      <c r="Q1" s="3"/>
      <c r="R1" s="3"/>
      <c r="S1" s="3"/>
      <c r="T1" s="3"/>
      <c r="U1" s="3"/>
      <c r="V1" s="3"/>
      <c r="W1" s="3"/>
      <c r="X1" s="3"/>
      <c r="Y1" s="3"/>
      <c r="Z1" s="4"/>
    </row>
    <row r="2" spans="1:26" ht="18" customHeight="1">
      <c r="A2" s="5"/>
      <c r="B2" s="75" t="s">
        <v>196</v>
      </c>
      <c r="C2" s="74"/>
      <c r="D2" s="74"/>
      <c r="E2" s="74"/>
      <c r="F2" s="74"/>
      <c r="G2" s="75" t="s">
        <v>197</v>
      </c>
      <c r="H2" s="6"/>
      <c r="I2" s="6"/>
      <c r="J2" s="6"/>
      <c r="K2" s="6"/>
      <c r="L2" s="6"/>
      <c r="M2" s="7"/>
      <c r="N2" s="5"/>
      <c r="O2" s="75" t="s">
        <v>196</v>
      </c>
      <c r="P2" s="74"/>
      <c r="Q2" s="74"/>
      <c r="R2" s="74"/>
      <c r="S2" s="74"/>
      <c r="T2" s="75" t="s">
        <v>197</v>
      </c>
      <c r="U2" s="6"/>
      <c r="V2" s="6"/>
      <c r="W2" s="6"/>
      <c r="X2" s="6"/>
      <c r="Y2" s="6"/>
      <c r="Z2" s="7"/>
    </row>
    <row r="3" spans="1:26" ht="18" customHeight="1">
      <c r="A3" s="5"/>
      <c r="B3" s="50" t="str">
        <f>'Financial Sustainability Work'!$E$9</f>
        <v>UGX</v>
      </c>
      <c r="C3" s="51" t="s">
        <v>16</v>
      </c>
      <c r="D3" s="355" t="s">
        <v>198</v>
      </c>
      <c r="E3" s="356"/>
      <c r="F3" s="76"/>
      <c r="G3" s="379" t="s">
        <v>199</v>
      </c>
      <c r="H3" s="379"/>
      <c r="I3" s="385"/>
      <c r="J3" s="378" t="s">
        <v>198</v>
      </c>
      <c r="K3" s="379"/>
      <c r="L3" s="52"/>
      <c r="M3" s="7"/>
      <c r="N3" s="5"/>
      <c r="O3" s="50" t="str">
        <f>'Financial Sustainability Work'!$E$9</f>
        <v>UGX</v>
      </c>
      <c r="P3" s="51" t="s">
        <v>16</v>
      </c>
      <c r="Q3" s="355" t="s">
        <v>198</v>
      </c>
      <c r="R3" s="356"/>
      <c r="S3" s="76"/>
      <c r="T3" s="379" t="s">
        <v>199</v>
      </c>
      <c r="U3" s="379"/>
      <c r="V3" s="385"/>
      <c r="W3" s="378" t="s">
        <v>198</v>
      </c>
      <c r="X3" s="379"/>
      <c r="Y3" s="78"/>
      <c r="Z3" s="7"/>
    </row>
    <row r="4" spans="1:26" ht="18" customHeight="1">
      <c r="A4" s="5"/>
      <c r="B4" s="105">
        <f>'Financial Sustainability Work'!$E$62</f>
        <v>0</v>
      </c>
      <c r="C4" s="103">
        <f>'Financial Sustainability Work'!$F$62</f>
        <v>0</v>
      </c>
      <c r="D4" s="382" t="s">
        <v>200</v>
      </c>
      <c r="E4" s="383"/>
      <c r="F4" s="6"/>
      <c r="G4" s="380" t="s">
        <v>201</v>
      </c>
      <c r="H4" s="380"/>
      <c r="I4" s="381"/>
      <c r="J4" s="382" t="s">
        <v>92</v>
      </c>
      <c r="K4" s="383"/>
      <c r="L4" s="96">
        <v>25</v>
      </c>
      <c r="M4" s="7"/>
      <c r="N4" s="5"/>
      <c r="O4" s="105">
        <f>'Financial Sustainability Work'!$E$62</f>
        <v>0</v>
      </c>
      <c r="P4" s="103">
        <f>'Financial Sustainability Work'!$F$62</f>
        <v>0</v>
      </c>
      <c r="Q4" s="382" t="s">
        <v>200</v>
      </c>
      <c r="R4" s="383"/>
      <c r="S4" s="6"/>
      <c r="T4" s="380" t="s">
        <v>201</v>
      </c>
      <c r="U4" s="380"/>
      <c r="V4" s="381"/>
      <c r="W4" s="382" t="s">
        <v>92</v>
      </c>
      <c r="X4" s="383"/>
      <c r="Y4" s="84">
        <f>L4</f>
        <v>25</v>
      </c>
      <c r="Z4" s="7"/>
    </row>
    <row r="5" spans="1:26" ht="18" customHeight="1">
      <c r="A5" s="5"/>
      <c r="B5" s="104">
        <f>'Financial Sustainability Work'!$E$61</f>
        <v>0</v>
      </c>
      <c r="C5" s="104">
        <f>'Financial Sustainability Work'!$F$61</f>
        <v>0</v>
      </c>
      <c r="D5" s="384" t="s">
        <v>202</v>
      </c>
      <c r="E5" s="380"/>
      <c r="F5" s="6"/>
      <c r="G5" s="380" t="s">
        <v>183</v>
      </c>
      <c r="H5" s="380"/>
      <c r="I5" s="381"/>
      <c r="J5" s="384" t="s">
        <v>193</v>
      </c>
      <c r="K5" s="380"/>
      <c r="L5" s="77">
        <f>(L4/100)*'Financial Sustainability Work'!$E$4</f>
        <v>0</v>
      </c>
      <c r="M5" s="7"/>
      <c r="N5" s="5"/>
      <c r="O5" s="104">
        <f>'Financial Sustainability Work'!$E$61</f>
        <v>0</v>
      </c>
      <c r="P5" s="104">
        <f>'Financial Sustainability Work'!$F$61</f>
        <v>0</v>
      </c>
      <c r="Q5" s="384" t="s">
        <v>202</v>
      </c>
      <c r="R5" s="380"/>
      <c r="S5" s="6"/>
      <c r="T5" s="380" t="s">
        <v>183</v>
      </c>
      <c r="U5" s="380"/>
      <c r="V5" s="381"/>
      <c r="W5" s="384" t="s">
        <v>193</v>
      </c>
      <c r="X5" s="380"/>
      <c r="Y5" s="85">
        <f>L5</f>
        <v>0</v>
      </c>
      <c r="Z5" s="7"/>
    </row>
    <row r="6" spans="1:26" ht="18" customHeight="1">
      <c r="A6" s="5"/>
      <c r="B6" s="6"/>
      <c r="C6" s="6"/>
      <c r="D6" s="6"/>
      <c r="E6" s="6"/>
      <c r="F6" s="6"/>
      <c r="G6" s="380" t="s">
        <v>203</v>
      </c>
      <c r="H6" s="380"/>
      <c r="I6" s="381"/>
      <c r="J6" s="384" t="s">
        <v>204</v>
      </c>
      <c r="K6" s="380"/>
      <c r="L6" s="97">
        <v>3.5</v>
      </c>
      <c r="M6" s="7"/>
      <c r="N6" s="5"/>
      <c r="O6" s="6"/>
      <c r="P6" s="6"/>
      <c r="Q6" s="6"/>
      <c r="R6" s="6"/>
      <c r="S6" s="6"/>
      <c r="T6" s="380" t="s">
        <v>203</v>
      </c>
      <c r="U6" s="380"/>
      <c r="V6" s="381"/>
      <c r="W6" s="384" t="s">
        <v>204</v>
      </c>
      <c r="X6" s="380"/>
      <c r="Y6" s="85">
        <f>L6</f>
        <v>3.5</v>
      </c>
      <c r="Z6" s="7"/>
    </row>
    <row r="7" spans="1:26" ht="18" customHeight="1">
      <c r="A7" s="5"/>
      <c r="B7" s="75" t="s">
        <v>205</v>
      </c>
      <c r="C7" s="74"/>
      <c r="D7" s="74"/>
      <c r="E7" s="74"/>
      <c r="F7" s="65"/>
      <c r="G7" s="386"/>
      <c r="H7" s="386"/>
      <c r="I7" s="387"/>
      <c r="J7" s="388" t="s">
        <v>206</v>
      </c>
      <c r="K7" s="386"/>
      <c r="L7" s="79">
        <f>L6*$J$13</f>
        <v>0</v>
      </c>
      <c r="M7" s="7"/>
      <c r="N7" s="5"/>
      <c r="O7" s="75" t="s">
        <v>205</v>
      </c>
      <c r="P7" s="74"/>
      <c r="Q7" s="74"/>
      <c r="R7" s="74"/>
      <c r="S7" s="65"/>
      <c r="T7" s="386"/>
      <c r="U7" s="386"/>
      <c r="V7" s="387"/>
      <c r="W7" s="384" t="s">
        <v>206</v>
      </c>
      <c r="X7" s="380"/>
      <c r="Y7" s="79">
        <f>L7</f>
        <v>0</v>
      </c>
      <c r="Z7" s="7"/>
    </row>
    <row r="8" spans="1:26" ht="18" customHeight="1">
      <c r="A8" s="5"/>
      <c r="B8" s="50" t="str">
        <f>'Financial Sustainability Work'!$E$9</f>
        <v>UGX</v>
      </c>
      <c r="C8" s="51" t="s">
        <v>16</v>
      </c>
      <c r="D8" s="355" t="s">
        <v>198</v>
      </c>
      <c r="E8" s="356"/>
      <c r="F8" s="380" t="s">
        <v>207</v>
      </c>
      <c r="G8" s="380"/>
      <c r="H8" s="380"/>
      <c r="I8" s="381"/>
      <c r="J8" s="382" t="s">
        <v>208</v>
      </c>
      <c r="K8" s="391"/>
      <c r="L8" s="81" t="e">
        <f>(L7*L5*30/'Financial Sustainability Work'!$E$14)*(C9-('Financial Sustainability Work'!$E$14/1000)*('Financial Sustainability Work'!#REF!+('Financial Sustainability Work'!$H$41*1000/(L5*L7*30))+('Financial Sustainability Work'!$H$56*1000/(L5*L7*30))))</f>
        <v>#DIV/0!</v>
      </c>
      <c r="M8" s="7"/>
      <c r="N8" s="5"/>
      <c r="O8" s="50" t="str">
        <f>'Financial Sustainability Work'!$E$9</f>
        <v>UGX</v>
      </c>
      <c r="P8" s="51" t="s">
        <v>16</v>
      </c>
      <c r="Q8" s="355" t="s">
        <v>198</v>
      </c>
      <c r="R8" s="356"/>
      <c r="S8" s="380" t="s">
        <v>207</v>
      </c>
      <c r="T8" s="380"/>
      <c r="U8" s="380"/>
      <c r="V8" s="380"/>
      <c r="W8" s="86" t="str">
        <f>'Financial Sustainability Work'!$E$9</f>
        <v>UGX</v>
      </c>
      <c r="X8" s="87" t="s">
        <v>209</v>
      </c>
      <c r="Y8" s="80" t="e">
        <f>L8*'Financial Sustainability Work'!$E$13</f>
        <v>#DIV/0!</v>
      </c>
      <c r="Z8" s="7"/>
    </row>
    <row r="9" spans="1:26" ht="18" customHeight="1">
      <c r="A9" s="5"/>
      <c r="B9" s="94">
        <v>2</v>
      </c>
      <c r="C9" s="57">
        <f>B9/'Financial Sustainability Work'!$E$13</f>
        <v>5.7142857142857147E-4</v>
      </c>
      <c r="D9" s="382" t="s">
        <v>200</v>
      </c>
      <c r="E9" s="383"/>
      <c r="F9" s="380" t="s">
        <v>210</v>
      </c>
      <c r="G9" s="380"/>
      <c r="H9" s="380"/>
      <c r="I9" s="381"/>
      <c r="J9" s="384" t="s">
        <v>208</v>
      </c>
      <c r="K9" s="381"/>
      <c r="L9" s="83" t="e">
        <f>($C$10-((('Financial Sustainability Work'!#REF!*'Financial Sustainability Work'!$E$21*'Financial Sustainability Work'!$E$5*30*L5/1000)+'Financial Sustainability Work'!$H$41+'Financial Sustainability Work'!$H$56)/L5))*L5</f>
        <v>#REF!</v>
      </c>
      <c r="M9" s="7"/>
      <c r="N9" s="5"/>
      <c r="O9" s="55">
        <f>B9</f>
        <v>2</v>
      </c>
      <c r="P9" s="57">
        <f>C9</f>
        <v>5.7142857142857147E-4</v>
      </c>
      <c r="Q9" s="382" t="s">
        <v>200</v>
      </c>
      <c r="R9" s="383"/>
      <c r="S9" s="380" t="s">
        <v>210</v>
      </c>
      <c r="T9" s="380"/>
      <c r="U9" s="380"/>
      <c r="V9" s="380"/>
      <c r="W9" s="91" t="str">
        <f>'Financial Sustainability Work'!$E$9</f>
        <v>UGX</v>
      </c>
      <c r="X9" s="92" t="s">
        <v>209</v>
      </c>
      <c r="Y9" s="88" t="e">
        <f>L9*'Financial Sustainability Work'!$E$13</f>
        <v>#REF!</v>
      </c>
      <c r="Z9" s="7"/>
    </row>
    <row r="10" spans="1:26" ht="18" customHeight="1">
      <c r="A10" s="5"/>
      <c r="B10" s="95">
        <v>170</v>
      </c>
      <c r="C10" s="56">
        <f>B10/'Financial Sustainability Work'!$E$13</f>
        <v>4.8571428571428571E-2</v>
      </c>
      <c r="D10" s="384" t="s">
        <v>202</v>
      </c>
      <c r="E10" s="380"/>
      <c r="F10" s="54"/>
      <c r="G10" s="54"/>
      <c r="H10" s="54"/>
      <c r="I10" s="54"/>
      <c r="J10" s="54"/>
      <c r="K10" s="54"/>
      <c r="L10" s="93"/>
      <c r="M10" s="7"/>
      <c r="N10" s="5"/>
      <c r="O10" s="54">
        <f>B10</f>
        <v>170</v>
      </c>
      <c r="P10" s="56">
        <f>C10</f>
        <v>4.8571428571428571E-2</v>
      </c>
      <c r="Q10" s="384" t="s">
        <v>202</v>
      </c>
      <c r="R10" s="380"/>
      <c r="S10" s="54"/>
      <c r="T10" s="54"/>
      <c r="U10" s="54"/>
      <c r="V10" s="54"/>
      <c r="W10" s="89"/>
      <c r="X10" s="90"/>
      <c r="Y10" s="93"/>
      <c r="Z10" s="7"/>
    </row>
    <row r="11" spans="1:26" ht="18" customHeight="1">
      <c r="A11" s="5"/>
      <c r="B11" s="6"/>
      <c r="C11" s="6"/>
      <c r="D11" s="6"/>
      <c r="E11" s="6"/>
      <c r="F11" s="54"/>
      <c r="G11" s="54"/>
      <c r="H11" s="54"/>
      <c r="I11" s="54"/>
      <c r="J11" s="54"/>
      <c r="K11" s="54"/>
      <c r="L11" s="93"/>
      <c r="M11" s="7"/>
      <c r="N11" s="5"/>
      <c r="O11" s="6"/>
      <c r="P11" s="6"/>
      <c r="Q11" s="6"/>
      <c r="R11" s="6"/>
      <c r="S11" s="54"/>
      <c r="T11" s="54"/>
      <c r="U11" s="54"/>
      <c r="V11" s="54"/>
      <c r="W11" s="89"/>
      <c r="X11" s="90"/>
      <c r="Y11" s="93"/>
      <c r="Z11" s="7"/>
    </row>
    <row r="12" spans="1:26" ht="17.25" customHeight="1">
      <c r="A12" s="5"/>
      <c r="B12" s="6"/>
      <c r="C12" s="6"/>
      <c r="D12" s="6"/>
      <c r="E12" s="6"/>
      <c r="F12" s="6"/>
      <c r="G12" s="6"/>
      <c r="H12" s="6"/>
      <c r="I12" s="6"/>
      <c r="J12" s="6"/>
      <c r="K12" s="6"/>
      <c r="L12" s="6"/>
      <c r="M12" s="7"/>
      <c r="N12" s="5"/>
      <c r="O12" s="6"/>
      <c r="P12" s="6"/>
      <c r="Q12" s="6"/>
      <c r="R12" s="6"/>
      <c r="S12" s="6"/>
      <c r="T12" s="6"/>
      <c r="U12" s="6"/>
      <c r="V12" s="6"/>
      <c r="W12" s="6"/>
      <c r="X12" s="6"/>
      <c r="Y12" s="6"/>
      <c r="Z12" s="7"/>
    </row>
    <row r="13" spans="1:26" ht="17.25" customHeight="1">
      <c r="A13" s="5"/>
      <c r="B13" s="373" t="s">
        <v>211</v>
      </c>
      <c r="C13" s="373"/>
      <c r="D13" s="373"/>
      <c r="E13" s="373"/>
      <c r="F13" s="67" t="s">
        <v>16</v>
      </c>
      <c r="G13" s="68" t="s">
        <v>212</v>
      </c>
      <c r="H13" s="372" t="s">
        <v>180</v>
      </c>
      <c r="I13" s="372"/>
      <c r="J13" s="69">
        <f>'Financial Sustainability Work'!$E$14</f>
        <v>0</v>
      </c>
      <c r="K13" s="70" t="s">
        <v>22</v>
      </c>
      <c r="L13" s="6"/>
      <c r="M13" s="7"/>
      <c r="N13" s="5"/>
      <c r="O13" s="373" t="s">
        <v>211</v>
      </c>
      <c r="P13" s="373"/>
      <c r="Q13" s="373"/>
      <c r="R13" s="373"/>
      <c r="S13" s="67" t="str">
        <f>'Financial Sustainability Work'!E9</f>
        <v>UGX</v>
      </c>
      <c r="T13" s="68" t="s">
        <v>212</v>
      </c>
      <c r="U13" s="372" t="s">
        <v>180</v>
      </c>
      <c r="V13" s="372"/>
      <c r="W13" s="69">
        <f>'Financial Sustainability Work'!$E$14</f>
        <v>0</v>
      </c>
      <c r="X13" s="70" t="s">
        <v>22</v>
      </c>
      <c r="Y13" s="6"/>
      <c r="Z13" s="7"/>
    </row>
    <row r="14" spans="1:26" ht="17.25" customHeight="1">
      <c r="A14" s="5"/>
      <c r="B14" s="368" t="s">
        <v>181</v>
      </c>
      <c r="C14" s="369"/>
      <c r="D14" s="355" t="s">
        <v>182</v>
      </c>
      <c r="E14" s="356"/>
      <c r="F14" s="356"/>
      <c r="G14" s="356"/>
      <c r="H14" s="356"/>
      <c r="I14" s="357"/>
      <c r="J14" s="392" t="s">
        <v>183</v>
      </c>
      <c r="K14" s="368"/>
      <c r="L14" s="6"/>
      <c r="M14" s="7"/>
      <c r="N14" s="5"/>
      <c r="O14" s="368" t="s">
        <v>181</v>
      </c>
      <c r="P14" s="368"/>
      <c r="Q14" s="355" t="s">
        <v>182</v>
      </c>
      <c r="R14" s="356"/>
      <c r="S14" s="356"/>
      <c r="T14" s="356"/>
      <c r="U14" s="356"/>
      <c r="V14" s="357"/>
      <c r="W14" s="392" t="s">
        <v>183</v>
      </c>
      <c r="X14" s="368"/>
      <c r="Y14" s="6"/>
      <c r="Z14" s="7"/>
    </row>
    <row r="15" spans="1:26" ht="17.25" customHeight="1">
      <c r="A15" s="5"/>
      <c r="B15" s="370"/>
      <c r="C15" s="371"/>
      <c r="D15" s="17">
        <v>1</v>
      </c>
      <c r="E15" s="18">
        <v>2</v>
      </c>
      <c r="F15" s="18">
        <v>3</v>
      </c>
      <c r="G15" s="18">
        <v>4</v>
      </c>
      <c r="H15" s="18">
        <v>5</v>
      </c>
      <c r="I15" s="19">
        <v>6</v>
      </c>
      <c r="J15" s="51" t="s">
        <v>184</v>
      </c>
      <c r="K15" s="51" t="s">
        <v>185</v>
      </c>
      <c r="L15" s="6"/>
      <c r="M15" s="7"/>
      <c r="N15" s="5"/>
      <c r="O15" s="370"/>
      <c r="P15" s="370"/>
      <c r="Q15" s="17">
        <v>1</v>
      </c>
      <c r="R15" s="18">
        <v>2</v>
      </c>
      <c r="S15" s="18">
        <v>3</v>
      </c>
      <c r="T15" s="18">
        <v>4</v>
      </c>
      <c r="U15" s="18">
        <v>5</v>
      </c>
      <c r="V15" s="19">
        <v>6</v>
      </c>
      <c r="W15" s="51" t="s">
        <v>184</v>
      </c>
      <c r="X15" s="51" t="s">
        <v>185</v>
      </c>
      <c r="Y15" s="6"/>
      <c r="Z15" s="7"/>
    </row>
    <row r="16" spans="1:26" ht="17.25" customHeight="1">
      <c r="A16" s="5"/>
      <c r="B16" s="366">
        <v>10</v>
      </c>
      <c r="C16" s="366"/>
      <c r="D16" s="46" t="e">
        <f>(D$25*$J16*30/'Financial Sustainability Work'!$E$14)*($C$9-'Breakeven Analysis'!D7)</f>
        <v>#DIV/0!</v>
      </c>
      <c r="E16" s="47" t="e">
        <f>(E$25*$J16*30/'Financial Sustainability Work'!$E$14)*($C$9-'Breakeven Analysis'!E7)</f>
        <v>#DIV/0!</v>
      </c>
      <c r="F16" s="47" t="e">
        <f>(F$25*$J16*30/'Financial Sustainability Work'!$E$14)*($C$9-'Breakeven Analysis'!F7)</f>
        <v>#DIV/0!</v>
      </c>
      <c r="G16" s="47" t="e">
        <f>(G$25*$J16*30/'Financial Sustainability Work'!$E$14)*($C$9-'Breakeven Analysis'!G7)</f>
        <v>#DIV/0!</v>
      </c>
      <c r="H16" s="47" t="e">
        <f>(H$25*$J16*30/'Financial Sustainability Work'!$E$14)*($C$9-'Breakeven Analysis'!H7)</f>
        <v>#DIV/0!</v>
      </c>
      <c r="I16" s="48" t="e">
        <f>(I$25*$J16*30/'Financial Sustainability Work'!$E$14)*($C$9-'Breakeven Analysis'!I7)</f>
        <v>#DIV/0!</v>
      </c>
      <c r="J16" s="13">
        <f>(B16/100)*'Financial Sustainability Work'!$E$4</f>
        <v>0</v>
      </c>
      <c r="K16" s="13">
        <f>(B16/100)*'Financial Sustainability Work'!$E$6</f>
        <v>0</v>
      </c>
      <c r="L16" s="6"/>
      <c r="M16" s="7"/>
      <c r="N16" s="5"/>
      <c r="O16" s="366">
        <v>10</v>
      </c>
      <c r="P16" s="366"/>
      <c r="Q16" s="38" t="e">
        <f>D16*'Financial Sustainability Work'!$E$13</f>
        <v>#DIV/0!</v>
      </c>
      <c r="R16" s="32" t="e">
        <f>E16*'Financial Sustainability Work'!$E$13</f>
        <v>#DIV/0!</v>
      </c>
      <c r="S16" s="32" t="e">
        <f>F16*'Financial Sustainability Work'!$E$13</f>
        <v>#DIV/0!</v>
      </c>
      <c r="T16" s="32" t="e">
        <f>G16*'Financial Sustainability Work'!$E$13</f>
        <v>#DIV/0!</v>
      </c>
      <c r="U16" s="32" t="e">
        <f>H16*'Financial Sustainability Work'!$E$13</f>
        <v>#DIV/0!</v>
      </c>
      <c r="V16" s="42" t="e">
        <f>I16*'Financial Sustainability Work'!$E$13</f>
        <v>#DIV/0!</v>
      </c>
      <c r="W16" s="13">
        <f>(O16/100)*'Financial Sustainability Work'!$E$4</f>
        <v>0</v>
      </c>
      <c r="X16" s="13">
        <f>(O16/100)*'Financial Sustainability Work'!$E$6</f>
        <v>0</v>
      </c>
      <c r="Y16" s="6"/>
      <c r="Z16" s="7"/>
    </row>
    <row r="17" spans="1:26" ht="17.25" customHeight="1">
      <c r="A17" s="5"/>
      <c r="B17" s="358">
        <v>20</v>
      </c>
      <c r="C17" s="358"/>
      <c r="D17" s="43" t="e">
        <f>(D$25*$J17*30/'Financial Sustainability Work'!$E$14)*($C$9-'Breakeven Analysis'!D8)</f>
        <v>#DIV/0!</v>
      </c>
      <c r="E17" s="44" t="e">
        <f>(E$25*$J17*30/'Financial Sustainability Work'!$E$14)*($C$9-'Breakeven Analysis'!E8)</f>
        <v>#DIV/0!</v>
      </c>
      <c r="F17" s="44" t="e">
        <f>(F$25*$J17*30/'Financial Sustainability Work'!$E$14)*($C$9-'Breakeven Analysis'!F8)</f>
        <v>#DIV/0!</v>
      </c>
      <c r="G17" s="44" t="e">
        <f>(G$25*$J17*30/'Financial Sustainability Work'!$E$14)*($C$9-'Breakeven Analysis'!G8)</f>
        <v>#DIV/0!</v>
      </c>
      <c r="H17" s="44" t="e">
        <f>(H$25*$J17*30/'Financial Sustainability Work'!$E$14)*($C$9-'Breakeven Analysis'!H8)</f>
        <v>#DIV/0!</v>
      </c>
      <c r="I17" s="45" t="e">
        <f>(I$25*$J17*30/'Financial Sustainability Work'!$E$14)*($C$9-'Breakeven Analysis'!I8)</f>
        <v>#DIV/0!</v>
      </c>
      <c r="J17" s="20">
        <f>(B17/100)*'Financial Sustainability Work'!$E$4</f>
        <v>0</v>
      </c>
      <c r="K17" s="20">
        <f>(B17/100)*'Financial Sustainability Work'!$E$6</f>
        <v>0</v>
      </c>
      <c r="L17" s="6"/>
      <c r="M17" s="7"/>
      <c r="N17" s="5"/>
      <c r="O17" s="358">
        <v>20</v>
      </c>
      <c r="P17" s="358"/>
      <c r="Q17" s="43" t="e">
        <f>D17*'Financial Sustainability Work'!$E$13</f>
        <v>#DIV/0!</v>
      </c>
      <c r="R17" s="44" t="e">
        <f>E17*'Financial Sustainability Work'!$E$13</f>
        <v>#DIV/0!</v>
      </c>
      <c r="S17" s="44" t="e">
        <f>F17*'Financial Sustainability Work'!$E$13</f>
        <v>#DIV/0!</v>
      </c>
      <c r="T17" s="44" t="e">
        <f>G17*'Financial Sustainability Work'!$E$13</f>
        <v>#DIV/0!</v>
      </c>
      <c r="U17" s="44" t="e">
        <f>H17*'Financial Sustainability Work'!$E$13</f>
        <v>#DIV/0!</v>
      </c>
      <c r="V17" s="45" t="e">
        <f>I17*'Financial Sustainability Work'!$E$13</f>
        <v>#DIV/0!</v>
      </c>
      <c r="W17" s="20">
        <f>(O17/100)*'Financial Sustainability Work'!$E$4</f>
        <v>0</v>
      </c>
      <c r="X17" s="20">
        <f>(O17/100)*'Financial Sustainability Work'!$E$6</f>
        <v>0</v>
      </c>
      <c r="Y17" s="6"/>
      <c r="Z17" s="7"/>
    </row>
    <row r="18" spans="1:26" ht="17.25" customHeight="1">
      <c r="A18" s="5"/>
      <c r="B18" s="360">
        <v>30</v>
      </c>
      <c r="C18" s="360"/>
      <c r="D18" s="38" t="e">
        <f>(D$25*$J18*30/'Financial Sustainability Work'!$E$14)*($C$9-'Breakeven Analysis'!D9)</f>
        <v>#DIV/0!</v>
      </c>
      <c r="E18" s="32" t="e">
        <f>(E$25*$J18*30/'Financial Sustainability Work'!$E$14)*($C$9-'Breakeven Analysis'!E9)</f>
        <v>#DIV/0!</v>
      </c>
      <c r="F18" s="32" t="e">
        <f>(F$25*$J18*30/'Financial Sustainability Work'!$E$14)*($C$9-'Breakeven Analysis'!F9)</f>
        <v>#DIV/0!</v>
      </c>
      <c r="G18" s="32" t="e">
        <f>(G$25*$J18*30/'Financial Sustainability Work'!$E$14)*($C$9-'Breakeven Analysis'!G9)</f>
        <v>#DIV/0!</v>
      </c>
      <c r="H18" s="32" t="e">
        <f>(H$25*$J18*30/'Financial Sustainability Work'!$E$14)*($C$9-'Breakeven Analysis'!H9)</f>
        <v>#DIV/0!</v>
      </c>
      <c r="I18" s="42" t="e">
        <f>(I$25*$J18*30/'Financial Sustainability Work'!$E$14)*($C$9-'Breakeven Analysis'!I9)</f>
        <v>#DIV/0!</v>
      </c>
      <c r="J18" s="13">
        <f>(B18/100)*'Financial Sustainability Work'!$E$4</f>
        <v>0</v>
      </c>
      <c r="K18" s="13">
        <f>(B18/100)*'Financial Sustainability Work'!$E$6</f>
        <v>0</v>
      </c>
      <c r="L18" s="6"/>
      <c r="M18" s="7"/>
      <c r="N18" s="5"/>
      <c r="O18" s="360">
        <v>30</v>
      </c>
      <c r="P18" s="360"/>
      <c r="Q18" s="38" t="e">
        <f>D18*'Financial Sustainability Work'!$E$13</f>
        <v>#DIV/0!</v>
      </c>
      <c r="R18" s="32" t="e">
        <f>E18*'Financial Sustainability Work'!$E$13</f>
        <v>#DIV/0!</v>
      </c>
      <c r="S18" s="32" t="e">
        <f>F18*'Financial Sustainability Work'!$E$13</f>
        <v>#DIV/0!</v>
      </c>
      <c r="T18" s="32" t="e">
        <f>G18*'Financial Sustainability Work'!$E$13</f>
        <v>#DIV/0!</v>
      </c>
      <c r="U18" s="32" t="e">
        <f>H18*'Financial Sustainability Work'!$E$13</f>
        <v>#DIV/0!</v>
      </c>
      <c r="V18" s="42" t="e">
        <f>I18*'Financial Sustainability Work'!$E$13</f>
        <v>#DIV/0!</v>
      </c>
      <c r="W18" s="13">
        <f>(O18/100)*'Financial Sustainability Work'!$E$4</f>
        <v>0</v>
      </c>
      <c r="X18" s="13">
        <f>(O18/100)*'Financial Sustainability Work'!$E$6</f>
        <v>0</v>
      </c>
      <c r="Y18" s="6"/>
      <c r="Z18" s="7"/>
    </row>
    <row r="19" spans="1:26" ht="17.25" customHeight="1">
      <c r="A19" s="5"/>
      <c r="B19" s="358">
        <v>40</v>
      </c>
      <c r="C19" s="358"/>
      <c r="D19" s="43" t="e">
        <f>(D$25*$J19*30/'Financial Sustainability Work'!$E$14)*($C$9-'Breakeven Analysis'!D10)</f>
        <v>#DIV/0!</v>
      </c>
      <c r="E19" s="44" t="e">
        <f>(E$25*$J19*30/'Financial Sustainability Work'!$E$14)*($C$9-'Breakeven Analysis'!E10)</f>
        <v>#DIV/0!</v>
      </c>
      <c r="F19" s="44" t="e">
        <f>(F$25*$J19*30/'Financial Sustainability Work'!$E$14)*($C$9-'Breakeven Analysis'!F10)</f>
        <v>#DIV/0!</v>
      </c>
      <c r="G19" s="44" t="e">
        <f>(G$25*$J19*30/'Financial Sustainability Work'!$E$14)*($C$9-'Breakeven Analysis'!G10)</f>
        <v>#DIV/0!</v>
      </c>
      <c r="H19" s="44" t="e">
        <f>(H$25*$J19*30/'Financial Sustainability Work'!$E$14)*($C$9-'Breakeven Analysis'!H10)</f>
        <v>#DIV/0!</v>
      </c>
      <c r="I19" s="45" t="e">
        <f>(I$25*$J19*30/'Financial Sustainability Work'!$E$14)*($C$9-'Breakeven Analysis'!I10)</f>
        <v>#DIV/0!</v>
      </c>
      <c r="J19" s="20">
        <f>(B19/100)*'Financial Sustainability Work'!$E$4</f>
        <v>0</v>
      </c>
      <c r="K19" s="20">
        <f>(B19/100)*'Financial Sustainability Work'!$E$6</f>
        <v>0</v>
      </c>
      <c r="L19" s="6"/>
      <c r="M19" s="7"/>
      <c r="N19" s="5"/>
      <c r="O19" s="358">
        <v>40</v>
      </c>
      <c r="P19" s="358"/>
      <c r="Q19" s="43" t="e">
        <f>D19*'Financial Sustainability Work'!$E$13</f>
        <v>#DIV/0!</v>
      </c>
      <c r="R19" s="44" t="e">
        <f>E19*'Financial Sustainability Work'!$E$13</f>
        <v>#DIV/0!</v>
      </c>
      <c r="S19" s="44" t="e">
        <f>F19*'Financial Sustainability Work'!$E$13</f>
        <v>#DIV/0!</v>
      </c>
      <c r="T19" s="44" t="e">
        <f>G19*'Financial Sustainability Work'!$E$13</f>
        <v>#DIV/0!</v>
      </c>
      <c r="U19" s="44" t="e">
        <f>H19*'Financial Sustainability Work'!$E$13</f>
        <v>#DIV/0!</v>
      </c>
      <c r="V19" s="45" t="e">
        <f>I19*'Financial Sustainability Work'!$E$13</f>
        <v>#DIV/0!</v>
      </c>
      <c r="W19" s="20">
        <f>(O19/100)*'Financial Sustainability Work'!$E$4</f>
        <v>0</v>
      </c>
      <c r="X19" s="20">
        <f>(O19/100)*'Financial Sustainability Work'!$E$6</f>
        <v>0</v>
      </c>
      <c r="Y19" s="6"/>
      <c r="Z19" s="7"/>
    </row>
    <row r="20" spans="1:26" ht="17.25" customHeight="1">
      <c r="A20" s="5"/>
      <c r="B20" s="360">
        <v>50</v>
      </c>
      <c r="C20" s="360"/>
      <c r="D20" s="38" t="e">
        <f>(D$25*$J20*30/'Financial Sustainability Work'!$E$14)*($C$9-'Breakeven Analysis'!D11)</f>
        <v>#DIV/0!</v>
      </c>
      <c r="E20" s="32" t="e">
        <f>(E$25*$J20*30/'Financial Sustainability Work'!$E$14)*($C$9-'Breakeven Analysis'!E11)</f>
        <v>#DIV/0!</v>
      </c>
      <c r="F20" s="32" t="e">
        <f>(F$25*$J20*30/'Financial Sustainability Work'!$E$14)*($C$9-'Breakeven Analysis'!F11)</f>
        <v>#DIV/0!</v>
      </c>
      <c r="G20" s="32" t="e">
        <f>(G$25*$J20*30/'Financial Sustainability Work'!$E$14)*($C$9-'Breakeven Analysis'!G11)</f>
        <v>#DIV/0!</v>
      </c>
      <c r="H20" s="32" t="e">
        <f>(H$25*$J20*30/'Financial Sustainability Work'!$E$14)*($C$9-'Breakeven Analysis'!H11)</f>
        <v>#DIV/0!</v>
      </c>
      <c r="I20" s="42" t="e">
        <f>(I$25*$J20*30/'Financial Sustainability Work'!$E$14)*($C$9-'Breakeven Analysis'!I11)</f>
        <v>#DIV/0!</v>
      </c>
      <c r="J20" s="13">
        <f>(B20/100)*'Financial Sustainability Work'!$E$4</f>
        <v>0</v>
      </c>
      <c r="K20" s="13">
        <f>(B20/100)*'Financial Sustainability Work'!$E$6</f>
        <v>0</v>
      </c>
      <c r="L20" s="6"/>
      <c r="M20" s="7"/>
      <c r="N20" s="5"/>
      <c r="O20" s="360">
        <v>50</v>
      </c>
      <c r="P20" s="360"/>
      <c r="Q20" s="38" t="e">
        <f>D20*'Financial Sustainability Work'!$E$13</f>
        <v>#DIV/0!</v>
      </c>
      <c r="R20" s="32" t="e">
        <f>E20*'Financial Sustainability Work'!$E$13</f>
        <v>#DIV/0!</v>
      </c>
      <c r="S20" s="32" t="e">
        <f>F20*'Financial Sustainability Work'!$E$13</f>
        <v>#DIV/0!</v>
      </c>
      <c r="T20" s="32" t="e">
        <f>G20*'Financial Sustainability Work'!$E$13</f>
        <v>#DIV/0!</v>
      </c>
      <c r="U20" s="32" t="e">
        <f>H20*'Financial Sustainability Work'!$E$13</f>
        <v>#DIV/0!</v>
      </c>
      <c r="V20" s="42" t="e">
        <f>I20*'Financial Sustainability Work'!$E$13</f>
        <v>#DIV/0!</v>
      </c>
      <c r="W20" s="13">
        <f>(O20/100)*'Financial Sustainability Work'!$E$4</f>
        <v>0</v>
      </c>
      <c r="X20" s="13">
        <f>(O20/100)*'Financial Sustainability Work'!$E$6</f>
        <v>0</v>
      </c>
      <c r="Y20" s="6"/>
      <c r="Z20" s="7"/>
    </row>
    <row r="21" spans="1:26" ht="17.25" customHeight="1">
      <c r="A21" s="5"/>
      <c r="B21" s="358">
        <v>60</v>
      </c>
      <c r="C21" s="358"/>
      <c r="D21" s="43" t="e">
        <f>(D$25*$J21*30/'Financial Sustainability Work'!$E$14)*($C$9-'Breakeven Analysis'!D12)</f>
        <v>#DIV/0!</v>
      </c>
      <c r="E21" s="44" t="e">
        <f>(E$25*$J21*30/'Financial Sustainability Work'!$E$14)*($C$9-'Breakeven Analysis'!E12)</f>
        <v>#DIV/0!</v>
      </c>
      <c r="F21" s="44" t="e">
        <f>(F$25*$J21*30/'Financial Sustainability Work'!$E$14)*($C$9-'Breakeven Analysis'!F12)</f>
        <v>#DIV/0!</v>
      </c>
      <c r="G21" s="44" t="e">
        <f>(G$25*$J21*30/'Financial Sustainability Work'!$E$14)*($C$9-'Breakeven Analysis'!G12)</f>
        <v>#DIV/0!</v>
      </c>
      <c r="H21" s="44" t="e">
        <f>(H$25*$J21*30/'Financial Sustainability Work'!$E$14)*($C$9-'Breakeven Analysis'!H12)</f>
        <v>#DIV/0!</v>
      </c>
      <c r="I21" s="45" t="e">
        <f>(I$25*$J21*30/'Financial Sustainability Work'!$E$14)*($C$9-'Breakeven Analysis'!I12)</f>
        <v>#DIV/0!</v>
      </c>
      <c r="J21" s="20">
        <f>(B21/100)*'Financial Sustainability Work'!$E$4</f>
        <v>0</v>
      </c>
      <c r="K21" s="20">
        <f>(B21/100)*'Financial Sustainability Work'!$E$6</f>
        <v>0</v>
      </c>
      <c r="L21" s="6"/>
      <c r="M21" s="7"/>
      <c r="N21" s="5"/>
      <c r="O21" s="358">
        <v>60</v>
      </c>
      <c r="P21" s="358"/>
      <c r="Q21" s="43" t="e">
        <f>D21*'Financial Sustainability Work'!$E$13</f>
        <v>#DIV/0!</v>
      </c>
      <c r="R21" s="44" t="e">
        <f>E21*'Financial Sustainability Work'!$E$13</f>
        <v>#DIV/0!</v>
      </c>
      <c r="S21" s="44" t="e">
        <f>F21*'Financial Sustainability Work'!$E$13</f>
        <v>#DIV/0!</v>
      </c>
      <c r="T21" s="44" t="e">
        <f>G21*'Financial Sustainability Work'!$E$13</f>
        <v>#DIV/0!</v>
      </c>
      <c r="U21" s="44" t="e">
        <f>H21*'Financial Sustainability Work'!$E$13</f>
        <v>#DIV/0!</v>
      </c>
      <c r="V21" s="45" t="e">
        <f>I21*'Financial Sustainability Work'!$E$13</f>
        <v>#DIV/0!</v>
      </c>
      <c r="W21" s="20">
        <f>(O21/100)*'Financial Sustainability Work'!$E$4</f>
        <v>0</v>
      </c>
      <c r="X21" s="20">
        <f>(O21/100)*'Financial Sustainability Work'!$E$6</f>
        <v>0</v>
      </c>
      <c r="Y21" s="6"/>
      <c r="Z21" s="7"/>
    </row>
    <row r="22" spans="1:26" ht="17.25" customHeight="1">
      <c r="A22" s="5"/>
      <c r="B22" s="360">
        <v>70</v>
      </c>
      <c r="C22" s="360"/>
      <c r="D22" s="38" t="e">
        <f>(D$25*$J22*30/'Financial Sustainability Work'!$E$14)*($C$9-'Breakeven Analysis'!D13)</f>
        <v>#DIV/0!</v>
      </c>
      <c r="E22" s="32" t="e">
        <f>(E$25*$J22*30/'Financial Sustainability Work'!$E$14)*($C$9-'Breakeven Analysis'!E13)</f>
        <v>#DIV/0!</v>
      </c>
      <c r="F22" s="32" t="e">
        <f>(F$25*$J22*30/'Financial Sustainability Work'!$E$14)*($C$9-'Breakeven Analysis'!F13)</f>
        <v>#DIV/0!</v>
      </c>
      <c r="G22" s="32" t="e">
        <f>(G$25*$J22*30/'Financial Sustainability Work'!$E$14)*($C$9-'Breakeven Analysis'!G13)</f>
        <v>#DIV/0!</v>
      </c>
      <c r="H22" s="32" t="e">
        <f>(H$25*$J22*30/'Financial Sustainability Work'!$E$14)*($C$9-'Breakeven Analysis'!H13)</f>
        <v>#DIV/0!</v>
      </c>
      <c r="I22" s="42" t="e">
        <f>(I$25*$J22*30/'Financial Sustainability Work'!$E$14)*($C$9-'Breakeven Analysis'!I13)</f>
        <v>#DIV/0!</v>
      </c>
      <c r="J22" s="13">
        <f>(B22/100)*'Financial Sustainability Work'!$E$4</f>
        <v>0</v>
      </c>
      <c r="K22" s="13">
        <f>(B22/100)*'Financial Sustainability Work'!$E$6</f>
        <v>0</v>
      </c>
      <c r="L22" s="6"/>
      <c r="M22" s="7"/>
      <c r="N22" s="5"/>
      <c r="O22" s="360">
        <v>70</v>
      </c>
      <c r="P22" s="360"/>
      <c r="Q22" s="38" t="e">
        <f>D22*'Financial Sustainability Work'!$E$13</f>
        <v>#DIV/0!</v>
      </c>
      <c r="R22" s="32" t="e">
        <f>E22*'Financial Sustainability Work'!$E$13</f>
        <v>#DIV/0!</v>
      </c>
      <c r="S22" s="32" t="e">
        <f>F22*'Financial Sustainability Work'!$E$13</f>
        <v>#DIV/0!</v>
      </c>
      <c r="T22" s="32" t="e">
        <f>G22*'Financial Sustainability Work'!$E$13</f>
        <v>#DIV/0!</v>
      </c>
      <c r="U22" s="32" t="e">
        <f>H22*'Financial Sustainability Work'!$E$13</f>
        <v>#DIV/0!</v>
      </c>
      <c r="V22" s="42" t="e">
        <f>I22*'Financial Sustainability Work'!$E$13</f>
        <v>#DIV/0!</v>
      </c>
      <c r="W22" s="13">
        <f>(O22/100)*'Financial Sustainability Work'!$E$4</f>
        <v>0</v>
      </c>
      <c r="X22" s="13">
        <f>(O22/100)*'Financial Sustainability Work'!$E$6</f>
        <v>0</v>
      </c>
      <c r="Y22" s="6"/>
      <c r="Z22" s="7"/>
    </row>
    <row r="23" spans="1:26" ht="17.25" customHeight="1">
      <c r="A23" s="5"/>
      <c r="B23" s="358">
        <v>80</v>
      </c>
      <c r="C23" s="358"/>
      <c r="D23" s="43" t="e">
        <f>(D$25*$J23*30/'Financial Sustainability Work'!$E$14)*($C$9-'Breakeven Analysis'!D14)</f>
        <v>#DIV/0!</v>
      </c>
      <c r="E23" s="44" t="e">
        <f>(E$25*$J23*30/'Financial Sustainability Work'!$E$14)*($C$9-'Breakeven Analysis'!E14)</f>
        <v>#DIV/0!</v>
      </c>
      <c r="F23" s="44" t="e">
        <f>(F$25*$J23*30/'Financial Sustainability Work'!$E$14)*($C$9-'Breakeven Analysis'!F14)</f>
        <v>#DIV/0!</v>
      </c>
      <c r="G23" s="44" t="e">
        <f>(G$25*$J23*30/'Financial Sustainability Work'!$E$14)*($C$9-'Breakeven Analysis'!G14)</f>
        <v>#DIV/0!</v>
      </c>
      <c r="H23" s="44" t="e">
        <f>(H$25*$J23*30/'Financial Sustainability Work'!$E$14)*($C$9-'Breakeven Analysis'!H14)</f>
        <v>#DIV/0!</v>
      </c>
      <c r="I23" s="45" t="e">
        <f>(I$25*$J23*30/'Financial Sustainability Work'!$E$14)*($C$9-'Breakeven Analysis'!I14)</f>
        <v>#DIV/0!</v>
      </c>
      <c r="J23" s="20">
        <f>(B23/100)*'Financial Sustainability Work'!$E$4</f>
        <v>0</v>
      </c>
      <c r="K23" s="20">
        <f>(B23/100)*'Financial Sustainability Work'!$E$6</f>
        <v>0</v>
      </c>
      <c r="L23" s="6"/>
      <c r="M23" s="7"/>
      <c r="N23" s="5"/>
      <c r="O23" s="358">
        <v>80</v>
      </c>
      <c r="P23" s="358"/>
      <c r="Q23" s="43" t="e">
        <f>D23*'Financial Sustainability Work'!$E$13</f>
        <v>#DIV/0!</v>
      </c>
      <c r="R23" s="44" t="e">
        <f>E23*'Financial Sustainability Work'!$E$13</f>
        <v>#DIV/0!</v>
      </c>
      <c r="S23" s="44" t="e">
        <f>F23*'Financial Sustainability Work'!$E$13</f>
        <v>#DIV/0!</v>
      </c>
      <c r="T23" s="44" t="e">
        <f>G23*'Financial Sustainability Work'!$E$13</f>
        <v>#DIV/0!</v>
      </c>
      <c r="U23" s="44" t="e">
        <f>H23*'Financial Sustainability Work'!$E$13</f>
        <v>#DIV/0!</v>
      </c>
      <c r="V23" s="45" t="e">
        <f>I23*'Financial Sustainability Work'!$E$13</f>
        <v>#DIV/0!</v>
      </c>
      <c r="W23" s="20">
        <f>(O23/100)*'Financial Sustainability Work'!$E$4</f>
        <v>0</v>
      </c>
      <c r="X23" s="20">
        <f>(O23/100)*'Financial Sustainability Work'!$E$6</f>
        <v>0</v>
      </c>
      <c r="Y23" s="6"/>
      <c r="Z23" s="7"/>
    </row>
    <row r="24" spans="1:26" ht="17.25" customHeight="1">
      <c r="A24" s="5"/>
      <c r="B24" s="364">
        <v>90</v>
      </c>
      <c r="C24" s="364"/>
      <c r="D24" s="71" t="e">
        <f>(D$25*$J24*30/'Financial Sustainability Work'!$E$14)*($C$9-'Breakeven Analysis'!D15)</f>
        <v>#DIV/0!</v>
      </c>
      <c r="E24" s="72" t="e">
        <f>(E$25*$J24*30/'Financial Sustainability Work'!$E$14)*($C$9-'Breakeven Analysis'!E15)</f>
        <v>#DIV/0!</v>
      </c>
      <c r="F24" s="72" t="e">
        <f>(F$25*$J24*30/'Financial Sustainability Work'!$E$14)*($C$9-'Breakeven Analysis'!F15)</f>
        <v>#DIV/0!</v>
      </c>
      <c r="G24" s="72" t="e">
        <f>(G$25*$J24*30/'Financial Sustainability Work'!$E$14)*($C$9-'Breakeven Analysis'!G15)</f>
        <v>#DIV/0!</v>
      </c>
      <c r="H24" s="72" t="e">
        <f>(H$25*$J24*30/'Financial Sustainability Work'!$E$14)*($C$9-'Breakeven Analysis'!H15)</f>
        <v>#DIV/0!</v>
      </c>
      <c r="I24" s="73" t="e">
        <f>(I$25*$J24*30/'Financial Sustainability Work'!$E$14)*($C$9-'Breakeven Analysis'!I15)</f>
        <v>#DIV/0!</v>
      </c>
      <c r="J24" s="26">
        <f>(B24/100)*'Financial Sustainability Work'!$E$4</f>
        <v>0</v>
      </c>
      <c r="K24" s="26">
        <f>(B24/100)*'Financial Sustainability Work'!$E$6</f>
        <v>0</v>
      </c>
      <c r="L24" s="6"/>
      <c r="M24" s="7"/>
      <c r="N24" s="5"/>
      <c r="O24" s="364">
        <v>90</v>
      </c>
      <c r="P24" s="364"/>
      <c r="Q24" s="71" t="e">
        <f>D24*'Financial Sustainability Work'!$E$13</f>
        <v>#DIV/0!</v>
      </c>
      <c r="R24" s="72" t="e">
        <f>E24*'Financial Sustainability Work'!$E$13</f>
        <v>#DIV/0!</v>
      </c>
      <c r="S24" s="72" t="e">
        <f>F24*'Financial Sustainability Work'!$E$13</f>
        <v>#DIV/0!</v>
      </c>
      <c r="T24" s="72" t="e">
        <f>G24*'Financial Sustainability Work'!$E$13</f>
        <v>#DIV/0!</v>
      </c>
      <c r="U24" s="72" t="e">
        <f>H24*'Financial Sustainability Work'!$E$13</f>
        <v>#DIV/0!</v>
      </c>
      <c r="V24" s="73" t="e">
        <f>I24*'Financial Sustainability Work'!$E$13</f>
        <v>#DIV/0!</v>
      </c>
      <c r="W24" s="26">
        <f>(O24/100)*'Financial Sustainability Work'!$E$4</f>
        <v>0</v>
      </c>
      <c r="X24" s="26">
        <f>(O24/100)*'Financial Sustainability Work'!$E$6</f>
        <v>0</v>
      </c>
      <c r="Y24" s="6"/>
      <c r="Z24" s="7"/>
    </row>
    <row r="25" spans="1:26" ht="17.25" customHeight="1">
      <c r="A25" s="5"/>
      <c r="B25" s="49"/>
      <c r="C25" s="49"/>
      <c r="D25" s="61">
        <f t="shared" ref="D25:I25" si="0">D15*$J$13</f>
        <v>0</v>
      </c>
      <c r="E25" s="62">
        <f t="shared" si="0"/>
        <v>0</v>
      </c>
      <c r="F25" s="62">
        <f t="shared" si="0"/>
        <v>0</v>
      </c>
      <c r="G25" s="62">
        <f t="shared" si="0"/>
        <v>0</v>
      </c>
      <c r="H25" s="62">
        <f t="shared" si="0"/>
        <v>0</v>
      </c>
      <c r="I25" s="63">
        <f t="shared" si="0"/>
        <v>0</v>
      </c>
      <c r="J25" s="13"/>
      <c r="K25" s="13"/>
      <c r="L25" s="6"/>
      <c r="M25" s="7"/>
      <c r="N25" s="5"/>
      <c r="O25" s="49"/>
      <c r="P25" s="49"/>
      <c r="Q25" s="61">
        <f t="shared" ref="Q25:V25" si="1">Q15*$J$13</f>
        <v>0</v>
      </c>
      <c r="R25" s="62">
        <f t="shared" si="1"/>
        <v>0</v>
      </c>
      <c r="S25" s="62">
        <f t="shared" si="1"/>
        <v>0</v>
      </c>
      <c r="T25" s="62">
        <f t="shared" si="1"/>
        <v>0</v>
      </c>
      <c r="U25" s="62">
        <f t="shared" si="1"/>
        <v>0</v>
      </c>
      <c r="V25" s="63">
        <f t="shared" si="1"/>
        <v>0</v>
      </c>
      <c r="W25" s="13"/>
      <c r="X25" s="13"/>
      <c r="Y25" s="6"/>
      <c r="Z25" s="7"/>
    </row>
    <row r="26" spans="1:26" ht="17.25" customHeight="1">
      <c r="A26" s="5"/>
      <c r="B26" s="49"/>
      <c r="C26" s="49"/>
      <c r="D26" s="355" t="s">
        <v>186</v>
      </c>
      <c r="E26" s="356"/>
      <c r="F26" s="356"/>
      <c r="G26" s="356"/>
      <c r="H26" s="356"/>
      <c r="I26" s="357"/>
      <c r="J26" s="13"/>
      <c r="K26" s="13"/>
      <c r="L26" s="6"/>
      <c r="M26" s="7"/>
      <c r="N26" s="5"/>
      <c r="O26" s="49"/>
      <c r="P26" s="49"/>
      <c r="Q26" s="355" t="s">
        <v>186</v>
      </c>
      <c r="R26" s="356"/>
      <c r="S26" s="356"/>
      <c r="T26" s="356"/>
      <c r="U26" s="356"/>
      <c r="V26" s="357"/>
      <c r="W26" s="13"/>
      <c r="X26" s="13"/>
      <c r="Y26" s="6"/>
      <c r="Z26" s="7"/>
    </row>
    <row r="27" spans="1:26" ht="17.25" customHeight="1">
      <c r="A27" s="5"/>
      <c r="B27" s="39" t="s">
        <v>213</v>
      </c>
      <c r="C27" s="49"/>
      <c r="D27" s="12"/>
      <c r="E27" s="12"/>
      <c r="F27" s="12"/>
      <c r="G27" s="12"/>
      <c r="H27" s="12"/>
      <c r="I27" s="12"/>
      <c r="J27" s="13"/>
      <c r="K27" s="13"/>
      <c r="L27" s="6"/>
      <c r="M27" s="7"/>
      <c r="N27" s="5"/>
      <c r="O27" s="39" t="s">
        <v>213</v>
      </c>
      <c r="P27" s="49"/>
      <c r="Q27" s="31"/>
      <c r="R27" s="31"/>
      <c r="S27" s="31"/>
      <c r="T27" s="31"/>
      <c r="U27" s="31"/>
      <c r="V27" s="31"/>
      <c r="W27" s="13"/>
      <c r="X27" s="13"/>
      <c r="Y27" s="6"/>
      <c r="Z27" s="7"/>
    </row>
    <row r="28" spans="1:26" ht="17.25" customHeight="1">
      <c r="A28" s="5"/>
      <c r="B28" s="39"/>
      <c r="C28" s="49"/>
      <c r="D28" s="12"/>
      <c r="E28" s="12"/>
      <c r="F28" s="12"/>
      <c r="G28" s="12"/>
      <c r="H28" s="12"/>
      <c r="I28" s="12"/>
      <c r="J28" s="13"/>
      <c r="K28" s="13"/>
      <c r="L28" s="6"/>
      <c r="M28" s="7"/>
      <c r="N28" s="5"/>
      <c r="O28" s="39"/>
      <c r="P28" s="49"/>
      <c r="Q28" s="31"/>
      <c r="R28" s="31"/>
      <c r="S28" s="31"/>
      <c r="T28" s="31"/>
      <c r="U28" s="31"/>
      <c r="V28" s="31"/>
      <c r="W28" s="13"/>
      <c r="X28" s="13"/>
      <c r="Y28" s="6"/>
      <c r="Z28" s="7"/>
    </row>
    <row r="29" spans="1:26" ht="17.25" customHeight="1">
      <c r="A29" s="5"/>
      <c r="B29" s="39"/>
      <c r="C29" s="49"/>
      <c r="D29" s="12"/>
      <c r="E29" s="12"/>
      <c r="F29" s="12"/>
      <c r="G29" s="12"/>
      <c r="H29" s="12"/>
      <c r="I29" s="12"/>
      <c r="J29" s="13"/>
      <c r="K29" s="13"/>
      <c r="L29" s="6"/>
      <c r="M29" s="7"/>
      <c r="N29" s="5"/>
      <c r="O29" s="39"/>
      <c r="P29" s="49"/>
      <c r="Q29" s="31"/>
      <c r="R29" s="31"/>
      <c r="S29" s="31"/>
      <c r="T29" s="31"/>
      <c r="U29" s="31"/>
      <c r="V29" s="31"/>
      <c r="W29" s="13"/>
      <c r="X29" s="13"/>
      <c r="Y29" s="6"/>
      <c r="Z29" s="7"/>
    </row>
    <row r="30" spans="1:26" ht="17.25" customHeight="1">
      <c r="A30" s="5"/>
      <c r="B30" s="6"/>
      <c r="C30" s="6"/>
      <c r="D30" s="6"/>
      <c r="E30" s="6"/>
      <c r="F30" s="6"/>
      <c r="G30" s="6"/>
      <c r="H30" s="6"/>
      <c r="I30" s="6"/>
      <c r="J30" s="6"/>
      <c r="K30" s="6"/>
      <c r="L30" s="6"/>
      <c r="M30" s="7"/>
      <c r="N30" s="5"/>
      <c r="O30" s="6"/>
      <c r="P30" s="6"/>
      <c r="Q30" s="6"/>
      <c r="R30" s="6"/>
      <c r="S30" s="6"/>
      <c r="T30" s="6"/>
      <c r="U30" s="6"/>
      <c r="V30" s="6"/>
      <c r="W30" s="6"/>
      <c r="X30" s="6"/>
      <c r="Y30" s="6"/>
      <c r="Z30" s="7"/>
    </row>
    <row r="31" spans="1:26" ht="17.25" customHeight="1">
      <c r="A31" s="376" t="s">
        <v>214</v>
      </c>
      <c r="B31" s="356"/>
      <c r="C31" s="356"/>
      <c r="D31" s="356"/>
      <c r="E31" s="356"/>
      <c r="F31" s="356"/>
      <c r="G31" s="356"/>
      <c r="H31" s="356"/>
      <c r="I31" s="356"/>
      <c r="J31" s="356"/>
      <c r="K31" s="356"/>
      <c r="L31" s="356"/>
      <c r="M31" s="377"/>
      <c r="N31" s="376" t="s">
        <v>214</v>
      </c>
      <c r="O31" s="356"/>
      <c r="P31" s="356"/>
      <c r="Q31" s="356"/>
      <c r="R31" s="356"/>
      <c r="S31" s="356"/>
      <c r="T31" s="356"/>
      <c r="U31" s="356"/>
      <c r="V31" s="356"/>
      <c r="W31" s="356"/>
      <c r="X31" s="356"/>
      <c r="Y31" s="356"/>
      <c r="Z31" s="377"/>
    </row>
    <row r="32" spans="1:26" ht="17.25" customHeight="1">
      <c r="A32" s="362" t="s">
        <v>191</v>
      </c>
      <c r="B32" s="363"/>
      <c r="C32" s="363"/>
      <c r="D32" s="49" t="s">
        <v>92</v>
      </c>
      <c r="E32" s="53">
        <v>10</v>
      </c>
      <c r="F32" s="49">
        <v>20</v>
      </c>
      <c r="G32" s="49">
        <v>30</v>
      </c>
      <c r="H32" s="49">
        <v>40</v>
      </c>
      <c r="I32" s="49">
        <v>50</v>
      </c>
      <c r="J32" s="49">
        <v>60</v>
      </c>
      <c r="K32" s="49">
        <v>70</v>
      </c>
      <c r="L32" s="49">
        <v>80</v>
      </c>
      <c r="M32" s="15">
        <v>90</v>
      </c>
      <c r="N32" s="362" t="s">
        <v>191</v>
      </c>
      <c r="O32" s="363"/>
      <c r="P32" s="363"/>
      <c r="Q32" s="49" t="s">
        <v>92</v>
      </c>
      <c r="R32" s="53">
        <v>10</v>
      </c>
      <c r="S32" s="49">
        <v>20</v>
      </c>
      <c r="T32" s="49">
        <v>30</v>
      </c>
      <c r="U32" s="49">
        <v>40</v>
      </c>
      <c r="V32" s="49">
        <v>50</v>
      </c>
      <c r="W32" s="49">
        <v>60</v>
      </c>
      <c r="X32" s="49">
        <v>70</v>
      </c>
      <c r="Y32" s="49">
        <v>80</v>
      </c>
      <c r="Z32" s="15">
        <v>90</v>
      </c>
    </row>
    <row r="33" spans="1:26" ht="18" customHeight="1">
      <c r="A33" s="374" t="s">
        <v>192</v>
      </c>
      <c r="B33" s="375"/>
      <c r="C33" s="375"/>
      <c r="D33" s="18" t="s">
        <v>193</v>
      </c>
      <c r="E33" s="28">
        <f>(E32/100)*'Financial Sustainability Work'!$E$4</f>
        <v>0</v>
      </c>
      <c r="F33" s="26">
        <f>(F32/100)*'Financial Sustainability Work'!$E$4</f>
        <v>0</v>
      </c>
      <c r="G33" s="26">
        <f>(G32/100)*'Financial Sustainability Work'!$E$4</f>
        <v>0</v>
      </c>
      <c r="H33" s="26">
        <f>(H32/100)*'Financial Sustainability Work'!$E$4</f>
        <v>0</v>
      </c>
      <c r="I33" s="26">
        <f>(I32/100)*'Financial Sustainability Work'!$E$4</f>
        <v>0</v>
      </c>
      <c r="J33" s="26">
        <f>(J32/100)*'Financial Sustainability Work'!$E$4</f>
        <v>0</v>
      </c>
      <c r="K33" s="26">
        <f>(K32/100)*'Financial Sustainability Work'!$E$4</f>
        <v>0</v>
      </c>
      <c r="L33" s="26">
        <f>(L32/100)*'Financial Sustainability Work'!$E$4</f>
        <v>0</v>
      </c>
      <c r="M33" s="27">
        <f>(M32/100)*'Financial Sustainability Work'!$E$4</f>
        <v>0</v>
      </c>
      <c r="N33" s="374" t="s">
        <v>192</v>
      </c>
      <c r="O33" s="375"/>
      <c r="P33" s="375"/>
      <c r="Q33" s="18" t="s">
        <v>193</v>
      </c>
      <c r="R33" s="28">
        <f>(R32/100)*'Financial Sustainability Work'!$E$4</f>
        <v>0</v>
      </c>
      <c r="S33" s="26">
        <f>(S32/100)*'Financial Sustainability Work'!$E$4</f>
        <v>0</v>
      </c>
      <c r="T33" s="26">
        <f>(T32/100)*'Financial Sustainability Work'!$E$4</f>
        <v>0</v>
      </c>
      <c r="U33" s="26">
        <f>(U32/100)*'Financial Sustainability Work'!$E$4</f>
        <v>0</v>
      </c>
      <c r="V33" s="26">
        <f>(V32/100)*'Financial Sustainability Work'!$E$4</f>
        <v>0</v>
      </c>
      <c r="W33" s="26">
        <f>(W32/100)*'Financial Sustainability Work'!$E$4</f>
        <v>0</v>
      </c>
      <c r="X33" s="26">
        <f>(X32/100)*'Financial Sustainability Work'!$E$4</f>
        <v>0</v>
      </c>
      <c r="Y33" s="26">
        <f>(Y32/100)*'Financial Sustainability Work'!$E$4</f>
        <v>0</v>
      </c>
      <c r="Z33" s="27">
        <f>(Z32/100)*'Financial Sustainability Work'!$E$4</f>
        <v>0</v>
      </c>
    </row>
    <row r="34" spans="1:26" ht="18" customHeight="1">
      <c r="A34" s="389" t="s">
        <v>215</v>
      </c>
      <c r="B34" s="390"/>
      <c r="C34" s="390"/>
      <c r="D34" s="49" t="s">
        <v>16</v>
      </c>
      <c r="E34" s="46" t="e">
        <f>($C$10-'Breakeven Analysis'!E39)*'Revenue Analysis'!E33</f>
        <v>#REF!</v>
      </c>
      <c r="F34" s="32" t="e">
        <f>($C$10-'Breakeven Analysis'!F39)*'Revenue Analysis'!F33</f>
        <v>#REF!</v>
      </c>
      <c r="G34" s="32" t="e">
        <f>($C$10-'Breakeven Analysis'!G39)*'Revenue Analysis'!G33</f>
        <v>#REF!</v>
      </c>
      <c r="H34" s="32" t="e">
        <f>($C$10-'Breakeven Analysis'!H39)*'Revenue Analysis'!H33</f>
        <v>#REF!</v>
      </c>
      <c r="I34" s="32" t="e">
        <f>($C$10-'Breakeven Analysis'!I39)*'Revenue Analysis'!I33</f>
        <v>#REF!</v>
      </c>
      <c r="J34" s="32" t="e">
        <f>($C$10-'Breakeven Analysis'!J39)*'Revenue Analysis'!J33</f>
        <v>#REF!</v>
      </c>
      <c r="K34" s="32" t="e">
        <f>($C$10-'Breakeven Analysis'!K39)*'Revenue Analysis'!K33</f>
        <v>#REF!</v>
      </c>
      <c r="L34" s="32" t="e">
        <f>($C$10-'Breakeven Analysis'!L39)*'Revenue Analysis'!L33</f>
        <v>#REF!</v>
      </c>
      <c r="M34" s="33" t="e">
        <f>($C$10-'Breakeven Analysis'!M39)*'Revenue Analysis'!M33</f>
        <v>#REF!</v>
      </c>
      <c r="N34" s="389" t="s">
        <v>215</v>
      </c>
      <c r="O34" s="390"/>
      <c r="P34" s="390"/>
      <c r="Q34" s="49" t="str">
        <f>'Financial Sustainability Work'!E9</f>
        <v>UGX</v>
      </c>
      <c r="R34" s="38" t="e">
        <f>E34*'Financial Sustainability Work'!$E$13</f>
        <v>#REF!</v>
      </c>
      <c r="S34" s="32" t="e">
        <f>F34*'Financial Sustainability Work'!$E$13</f>
        <v>#REF!</v>
      </c>
      <c r="T34" s="32" t="e">
        <f>G34*'Financial Sustainability Work'!$E$13</f>
        <v>#REF!</v>
      </c>
      <c r="U34" s="32" t="e">
        <f>H34*'Financial Sustainability Work'!$E$13</f>
        <v>#REF!</v>
      </c>
      <c r="V34" s="32" t="e">
        <f>I34*'Financial Sustainability Work'!$E$13</f>
        <v>#REF!</v>
      </c>
      <c r="W34" s="32" t="e">
        <f>J34*'Financial Sustainability Work'!$E$13</f>
        <v>#REF!</v>
      </c>
      <c r="X34" s="32" t="e">
        <f>K34*'Financial Sustainability Work'!$E$13</f>
        <v>#REF!</v>
      </c>
      <c r="Y34" s="32" t="e">
        <f>L34*'Financial Sustainability Work'!$E$13</f>
        <v>#REF!</v>
      </c>
      <c r="Z34" s="33" t="e">
        <f>M34*'Financial Sustainability Work'!$E$13</f>
        <v>#REF!</v>
      </c>
    </row>
    <row r="35" spans="1:26" ht="18" customHeight="1">
      <c r="A35" s="393" t="s">
        <v>216</v>
      </c>
      <c r="B35" s="394"/>
      <c r="C35" s="394"/>
      <c r="D35" s="394"/>
      <c r="E35" s="394"/>
      <c r="F35" s="394"/>
      <c r="G35" s="394"/>
      <c r="H35" s="394"/>
      <c r="I35" s="394"/>
      <c r="J35" s="394"/>
      <c r="K35" s="394"/>
      <c r="L35" s="394"/>
      <c r="M35" s="395"/>
      <c r="N35" s="393" t="s">
        <v>216</v>
      </c>
      <c r="O35" s="394"/>
      <c r="P35" s="394"/>
      <c r="Q35" s="394"/>
      <c r="R35" s="394"/>
      <c r="S35" s="394"/>
      <c r="T35" s="394"/>
      <c r="U35" s="394"/>
      <c r="V35" s="394"/>
      <c r="W35" s="394"/>
      <c r="X35" s="394"/>
      <c r="Y35" s="394"/>
      <c r="Z35" s="395"/>
    </row>
    <row r="36" spans="1:26" ht="18" customHeight="1">
      <c r="A36" s="393"/>
      <c r="B36" s="394"/>
      <c r="C36" s="394"/>
      <c r="D36" s="394"/>
      <c r="E36" s="394"/>
      <c r="F36" s="394"/>
      <c r="G36" s="394"/>
      <c r="H36" s="394"/>
      <c r="I36" s="394"/>
      <c r="J36" s="394"/>
      <c r="K36" s="394"/>
      <c r="L36" s="394"/>
      <c r="M36" s="395"/>
      <c r="N36" s="393"/>
      <c r="O36" s="394"/>
      <c r="P36" s="394"/>
      <c r="Q36" s="394"/>
      <c r="R36" s="394"/>
      <c r="S36" s="394"/>
      <c r="T36" s="394"/>
      <c r="U36" s="394"/>
      <c r="V36" s="394"/>
      <c r="W36" s="394"/>
      <c r="X36" s="394"/>
      <c r="Y36" s="394"/>
      <c r="Z36" s="395"/>
    </row>
    <row r="37" spans="1:26" ht="11.85" customHeight="1">
      <c r="A37" s="5"/>
      <c r="B37" s="6"/>
      <c r="C37" s="40"/>
      <c r="D37" s="40"/>
      <c r="E37" s="40"/>
      <c r="F37" s="6"/>
      <c r="G37" s="6"/>
      <c r="H37" s="6"/>
      <c r="I37" s="6"/>
      <c r="J37" s="6"/>
      <c r="K37" s="6"/>
      <c r="L37" s="6"/>
      <c r="M37" s="7"/>
      <c r="N37" s="5"/>
      <c r="O37" s="6"/>
      <c r="P37" s="6"/>
      <c r="Q37" s="6"/>
      <c r="R37" s="6"/>
      <c r="S37" s="6"/>
      <c r="T37" s="6"/>
      <c r="U37" s="6"/>
      <c r="V37" s="6"/>
      <c r="W37" s="6"/>
      <c r="X37" s="6"/>
      <c r="Y37" s="6"/>
      <c r="Z37" s="7"/>
    </row>
    <row r="38" spans="1:26" ht="11.85" customHeight="1">
      <c r="A38" s="5"/>
      <c r="B38" s="6"/>
      <c r="C38" s="40"/>
      <c r="D38" s="40"/>
      <c r="E38" s="40"/>
      <c r="F38" s="6"/>
      <c r="G38" s="6"/>
      <c r="H38" s="6"/>
      <c r="I38" s="6"/>
      <c r="J38" s="6"/>
      <c r="K38" s="6"/>
      <c r="L38" s="6"/>
      <c r="M38" s="7"/>
      <c r="N38" s="5"/>
      <c r="O38" s="6"/>
      <c r="P38" s="6"/>
      <c r="Q38" s="6"/>
      <c r="R38" s="6"/>
      <c r="S38" s="6"/>
      <c r="T38" s="6"/>
      <c r="U38" s="6"/>
      <c r="V38" s="6"/>
      <c r="W38" s="6"/>
      <c r="X38" s="6"/>
      <c r="Y38" s="6"/>
      <c r="Z38" s="7"/>
    </row>
    <row r="39" spans="1:26" ht="11.85" customHeight="1">
      <c r="A39" s="5"/>
      <c r="B39" s="40"/>
      <c r="C39" s="40"/>
      <c r="D39" s="40"/>
      <c r="E39" s="40"/>
      <c r="F39" s="6"/>
      <c r="G39" s="6"/>
      <c r="H39" s="6"/>
      <c r="I39" s="6"/>
      <c r="J39" s="6"/>
      <c r="K39" s="6"/>
      <c r="L39" s="6"/>
      <c r="M39" s="7"/>
      <c r="N39" s="5"/>
      <c r="O39" s="6"/>
      <c r="P39" s="6"/>
      <c r="Q39" s="6"/>
      <c r="R39" s="6"/>
      <c r="S39" s="6"/>
      <c r="T39" s="6"/>
      <c r="U39" s="6"/>
      <c r="V39" s="6"/>
      <c r="W39" s="6"/>
      <c r="X39" s="6"/>
      <c r="Y39" s="6"/>
      <c r="Z39" s="7"/>
    </row>
    <row r="40" spans="1:26" ht="11.85" customHeight="1" thickBot="1">
      <c r="A40" s="9"/>
      <c r="B40" s="10"/>
      <c r="C40" s="41"/>
      <c r="D40" s="41"/>
      <c r="E40" s="41"/>
      <c r="F40" s="10"/>
      <c r="G40" s="10"/>
      <c r="H40" s="10"/>
      <c r="I40" s="10"/>
      <c r="J40" s="10"/>
      <c r="K40" s="10"/>
      <c r="L40" s="10"/>
      <c r="M40" s="11"/>
      <c r="N40" s="9"/>
      <c r="O40" s="10"/>
      <c r="P40" s="10"/>
      <c r="Q40" s="10"/>
      <c r="R40" s="10"/>
      <c r="S40" s="10"/>
      <c r="T40" s="10"/>
      <c r="U40" s="10"/>
      <c r="V40" s="10"/>
      <c r="W40" s="10"/>
      <c r="X40" s="10"/>
      <c r="Y40" s="10"/>
      <c r="Z40" s="11"/>
    </row>
    <row r="41" spans="1:26" ht="18" customHeight="1">
      <c r="B41"/>
      <c r="C41"/>
      <c r="D41"/>
      <c r="E41"/>
    </row>
    <row r="42" spans="1:26" ht="18" customHeight="1">
      <c r="B42"/>
      <c r="C42"/>
      <c r="D42"/>
      <c r="E42"/>
    </row>
  </sheetData>
  <mergeCells count="76">
    <mergeCell ref="G3:I3"/>
    <mergeCell ref="N35:Z36"/>
    <mergeCell ref="Q9:R9"/>
    <mergeCell ref="Q10:R10"/>
    <mergeCell ref="N34:P34"/>
    <mergeCell ref="N31:Z31"/>
    <mergeCell ref="N32:P32"/>
    <mergeCell ref="W14:X14"/>
    <mergeCell ref="Q14:V14"/>
    <mergeCell ref="N33:P33"/>
    <mergeCell ref="O13:R13"/>
    <mergeCell ref="U13:V13"/>
    <mergeCell ref="Q26:V26"/>
    <mergeCell ref="S9:V9"/>
    <mergeCell ref="A35:M36"/>
    <mergeCell ref="D10:E10"/>
    <mergeCell ref="A32:C32"/>
    <mergeCell ref="J9:K9"/>
    <mergeCell ref="J8:K8"/>
    <mergeCell ref="B14:C15"/>
    <mergeCell ref="D14:I14"/>
    <mergeCell ref="J14:K14"/>
    <mergeCell ref="B16:C16"/>
    <mergeCell ref="B22:C22"/>
    <mergeCell ref="B23:C23"/>
    <mergeCell ref="D9:E9"/>
    <mergeCell ref="D8:E8"/>
    <mergeCell ref="A31:M31"/>
    <mergeCell ref="B13:E13"/>
    <mergeCell ref="H13:I13"/>
    <mergeCell ref="A34:C34"/>
    <mergeCell ref="A33:C33"/>
    <mergeCell ref="B24:C24"/>
    <mergeCell ref="O14:P15"/>
    <mergeCell ref="O16:P16"/>
    <mergeCell ref="O24:P24"/>
    <mergeCell ref="O23:P23"/>
    <mergeCell ref="O22:P22"/>
    <mergeCell ref="O21:P21"/>
    <mergeCell ref="O20:P20"/>
    <mergeCell ref="D26:I26"/>
    <mergeCell ref="O19:P19"/>
    <mergeCell ref="O18:P18"/>
    <mergeCell ref="O17:P17"/>
    <mergeCell ref="B17:C17"/>
    <mergeCell ref="B20:C20"/>
    <mergeCell ref="J4:K4"/>
    <mergeCell ref="J3:K3"/>
    <mergeCell ref="G5:I5"/>
    <mergeCell ref="J5:K5"/>
    <mergeCell ref="B21:C21"/>
    <mergeCell ref="B18:C18"/>
    <mergeCell ref="B19:C19"/>
    <mergeCell ref="G6:I7"/>
    <mergeCell ref="J7:K7"/>
    <mergeCell ref="J6:K6"/>
    <mergeCell ref="F9:I9"/>
    <mergeCell ref="F8:I8"/>
    <mergeCell ref="D3:E3"/>
    <mergeCell ref="D4:E4"/>
    <mergeCell ref="D5:E5"/>
    <mergeCell ref="G4:I4"/>
    <mergeCell ref="Q8:R8"/>
    <mergeCell ref="W3:X3"/>
    <mergeCell ref="T4:V4"/>
    <mergeCell ref="W4:X4"/>
    <mergeCell ref="T5:V5"/>
    <mergeCell ref="W5:X5"/>
    <mergeCell ref="W6:X6"/>
    <mergeCell ref="W7:X7"/>
    <mergeCell ref="S8:V8"/>
    <mergeCell ref="T3:V3"/>
    <mergeCell ref="T6:V7"/>
    <mergeCell ref="Q3:R3"/>
    <mergeCell ref="Q4:R4"/>
    <mergeCell ref="Q5:R5"/>
  </mergeCells>
  <conditionalFormatting sqref="C9">
    <cfRule type="cellIs" dxfId="12" priority="12" operator="lessThanOrEqual">
      <formula>$C$4</formula>
    </cfRule>
    <cfRule type="cellIs" dxfId="11" priority="13" operator="greaterThan">
      <formula>$C$4</formula>
    </cfRule>
  </conditionalFormatting>
  <conditionalFormatting sqref="C10">
    <cfRule type="cellIs" dxfId="10" priority="10" operator="lessThanOrEqual">
      <formula>$C$5</formula>
    </cfRule>
    <cfRule type="cellIs" dxfId="9" priority="11" operator="greaterThan">
      <formula>$C$5</formula>
    </cfRule>
  </conditionalFormatting>
  <conditionalFormatting sqref="L8:L9 Y8:Y9 D16:I24 Q16:V24 E34:M34 R34:Z34">
    <cfRule type="cellIs" dxfId="8" priority="1" operator="lessThan">
      <formula>0</formula>
    </cfRule>
  </conditionalFormatting>
  <conditionalFormatting sqref="O9">
    <cfRule type="cellIs" dxfId="7" priority="8" operator="lessThanOrEqual">
      <formula>$O$4</formula>
    </cfRule>
    <cfRule type="cellIs" dxfId="6" priority="9" operator="greaterThan">
      <formula>$O$4</formula>
    </cfRule>
  </conditionalFormatting>
  <conditionalFormatting sqref="O10">
    <cfRule type="cellIs" dxfId="5" priority="6" operator="lessThanOrEqual">
      <formula>$O$5</formula>
    </cfRule>
    <cfRule type="cellIs" dxfId="4" priority="7" operator="greaterThan">
      <formula>$O$5</formula>
    </cfRule>
  </conditionalFormatting>
  <conditionalFormatting sqref="P9">
    <cfRule type="cellIs" dxfId="3" priority="4" operator="lessThanOrEqual">
      <formula>$P$4</formula>
    </cfRule>
    <cfRule type="cellIs" dxfId="2" priority="5" operator="greaterThan">
      <formula>$P$4</formula>
    </cfRule>
  </conditionalFormatting>
  <conditionalFormatting sqref="P10">
    <cfRule type="cellIs" dxfId="1" priority="2" operator="lessThanOrEqual">
      <formula>$P$5</formula>
    </cfRule>
    <cfRule type="cellIs" dxfId="0" priority="3" operator="greaterThan">
      <formula>$P$5</formula>
    </cfRule>
  </conditionalFormatting>
  <pageMargins left="0.75" right="0.75" top="0.75" bottom="0.25" header="0.3" footer="0.3"/>
  <pageSetup orientation="portrait" r:id="rId1"/>
  <headerFooter>
    <oddHeader>&amp;L&amp;"-,Bold"&amp;K3155A4Example Community - Safe Water Project Operational and Replacement Costs
Page 4: Revenue Analysis&amp;R&amp;G&amp;K00+000h</oddHeader>
    <oddFooter>&amp;L&amp;8&amp;K3155A4&amp;Z&amp;F&amp;R&amp;8&amp;K3155A4(Rev11_) &amp;D</oddFooter>
  </headerFooter>
  <colBreaks count="1" manualBreakCount="1">
    <brk id="13"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0dc8223d-c984-4256-b8e5-83bd0a2096c2" xsi:nil="true"/>
    <TaxCatchAll xmlns="2094ab6a-cea6-4a89-92f9-e2c81cd0e3b6" xsi:nil="true"/>
    <lcf76f155ced4ddcb4097134ff3c332f xmlns="0dc8223d-c984-4256-b8e5-83bd0a2096c2">
      <Terms xmlns="http://schemas.microsoft.com/office/infopath/2007/PartnerControls"/>
    </lcf76f155ced4ddcb4097134ff3c332f>
    <SharedWithUsers xmlns="2094ab6a-cea6-4a89-92f9-e2c81cd0e3b6">
      <UserInfo>
        <DisplayName>Heidi Fuller</DisplayName>
        <AccountId>14</AccountId>
        <AccountType/>
      </UserInfo>
      <UserInfo>
        <DisplayName>Reuben Kogi</DisplayName>
        <AccountId>18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0F2E4397A8DA4FA5BB50E5189DCBC1" ma:contentTypeVersion="15" ma:contentTypeDescription="Create a new document." ma:contentTypeScope="" ma:versionID="abadac07fec8c263553c75756f310222">
  <xsd:schema xmlns:xsd="http://www.w3.org/2001/XMLSchema" xmlns:xs="http://www.w3.org/2001/XMLSchema" xmlns:p="http://schemas.microsoft.com/office/2006/metadata/properties" xmlns:ns2="0dc8223d-c984-4256-b8e5-83bd0a2096c2" xmlns:ns3="2094ab6a-cea6-4a89-92f9-e2c81cd0e3b6" targetNamespace="http://schemas.microsoft.com/office/2006/metadata/properties" ma:root="true" ma:fieldsID="8cd6eae85d8f802413ee7ac5978a09f5" ns2:_="" ns3:_="">
    <xsd:import namespace="0dc8223d-c984-4256-b8e5-83bd0a2096c2"/>
    <xsd:import namespace="2094ab6a-cea6-4a89-92f9-e2c81cd0e3b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c8223d-c984-4256-b8e5-83bd0a2096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3395c2f-3a89-4a2f-b426-54c395ff81e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4ab6a-cea6-4a89-92f9-e2c81cd0e3b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4f9228a-fbdc-4d41-a3c3-7bd41d4b60fc}" ma:internalName="TaxCatchAll" ma:showField="CatchAllData" ma:web="2094ab6a-cea6-4a89-92f9-e2c81cd0e3b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D5BF5F-F92A-4C15-B3C3-6278463458E3}"/>
</file>

<file path=customXml/itemProps2.xml><?xml version="1.0" encoding="utf-8"?>
<ds:datastoreItem xmlns:ds="http://schemas.openxmlformats.org/officeDocument/2006/customXml" ds:itemID="{15124939-CB3A-492A-9A9E-6DEE8E10F229}"/>
</file>

<file path=customXml/itemProps3.xml><?xml version="1.0" encoding="utf-8"?>
<ds:datastoreItem xmlns:ds="http://schemas.openxmlformats.org/officeDocument/2006/customXml" ds:itemID="{73E42F39-E834-458F-A35E-338077CADB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Armstrong</dc:creator>
  <cp:keywords/>
  <dc:description/>
  <cp:lastModifiedBy>marion.nonglaton@gmail.com</cp:lastModifiedBy>
  <cp:revision/>
  <dcterms:created xsi:type="dcterms:W3CDTF">2012-05-31T10:12:34Z</dcterms:created>
  <dcterms:modified xsi:type="dcterms:W3CDTF">2025-05-26T15:58:56Z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0x0101003F0F2E4397A8DA4FA5BB50E5189DCBC1</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